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as\Documents\Licitações 2019\Tomada de preços\12 2019 Coleta de lixo domiciliar\Planilhas retificadas\"/>
    </mc:Choice>
  </mc:AlternateContent>
  <xr:revisionPtr revIDLastSave="0" documentId="13_ncr:1_{5AFEE8BE-CB90-4B0C-B8BC-2A13CF2229CD}" xr6:coauthVersionLast="44" xr6:coauthVersionMax="44" xr10:uidLastSave="{00000000-0000-0000-0000-000000000000}"/>
  <bookViews>
    <workbookView xWindow="-120" yWindow="-120" windowWidth="29040" windowHeight="15840" tabRatio="802" xr2:uid="{00000000-000D-0000-FFFF-FFFF00000000}"/>
  </bookViews>
  <sheets>
    <sheet name="1. Coleta Domiciliar - Urbano" sheetId="2" r:id="rId1"/>
    <sheet name="2.Encargos Sociais" sheetId="8" r:id="rId2"/>
    <sheet name="3.CAGED" sheetId="5" r:id="rId3"/>
    <sheet name="4.BDI" sheetId="4" r:id="rId4"/>
    <sheet name="5. Depreciação" sheetId="6" r:id="rId5"/>
    <sheet name="6.Remuneração de capital" sheetId="7" r:id="rId6"/>
    <sheet name="7. Dimensionamento" sheetId="9" r:id="rId7"/>
  </sheets>
  <definedNames>
    <definedName name="AbaDeprec">'5. Depreciação'!$A$1</definedName>
    <definedName name="AbaRemun">'6.Remuneração de capital'!$A$1</definedName>
    <definedName name="_xlnm.Print_Area" localSheetId="0">'1. Coleta Domiciliar - Urbano'!$A$11:$F$329</definedName>
    <definedName name="_xlnm.Print_Area" localSheetId="1">'2.Encargos Sociais'!$A$1:$C$39</definedName>
    <definedName name="_xlnm.Print_Titles" localSheetId="0">'1. Coleta Domiciliar - Urbano'!$1:$8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09" i="2" l="1"/>
  <c r="F329" i="2"/>
  <c r="C13" i="9" l="1"/>
  <c r="F284" i="2"/>
  <c r="D74" i="2"/>
  <c r="E74" i="2" s="1"/>
  <c r="C76" i="2"/>
  <c r="C79" i="2"/>
  <c r="E79" i="2" s="1"/>
  <c r="D79" i="2"/>
  <c r="C82" i="2"/>
  <c r="C84" i="2"/>
  <c r="C86" i="2"/>
  <c r="E89" i="2"/>
  <c r="D108" i="2"/>
  <c r="D112" i="2" s="1"/>
  <c r="E112" i="2" s="1"/>
  <c r="D109" i="2"/>
  <c r="C111" i="2"/>
  <c r="D111" i="2"/>
  <c r="E111" i="2" s="1"/>
  <c r="C114" i="2"/>
  <c r="C117" i="2"/>
  <c r="C120" i="2"/>
  <c r="E120" i="2" s="1"/>
  <c r="D120" i="2"/>
  <c r="C122" i="2"/>
  <c r="E125" i="2"/>
  <c r="A35" i="2"/>
  <c r="A34" i="2"/>
  <c r="D279" i="2"/>
  <c r="E279" i="2" s="1"/>
  <c r="F282" i="2" s="1"/>
  <c r="E35" i="2" s="1"/>
  <c r="E276" i="2"/>
  <c r="E82" i="2" l="1"/>
  <c r="D76" i="2"/>
  <c r="E76" i="2" s="1"/>
  <c r="E108" i="2"/>
  <c r="D80" i="2"/>
  <c r="E80" i="2" s="1"/>
  <c r="D82" i="2"/>
  <c r="D77" i="2"/>
  <c r="E77" i="2" s="1"/>
  <c r="D114" i="2"/>
  <c r="E114" i="2" s="1"/>
  <c r="D115" i="2"/>
  <c r="E115" i="2" s="1"/>
  <c r="D117" i="2"/>
  <c r="E117" i="2" s="1"/>
  <c r="D84" i="2" l="1"/>
  <c r="E84" i="2" s="1"/>
  <c r="D83" i="2"/>
  <c r="E83" i="2" s="1"/>
  <c r="E85" i="2" s="1"/>
  <c r="D118" i="2"/>
  <c r="E118" i="2" s="1"/>
  <c r="E121" i="2"/>
  <c r="C251" i="2"/>
  <c r="E251" i="2" s="1"/>
  <c r="E87" i="2" l="1"/>
  <c r="D88" i="2" s="1"/>
  <c r="E88" i="2" s="1"/>
  <c r="F89" i="2" s="1"/>
  <c r="D86" i="2"/>
  <c r="E86" i="2" s="1"/>
  <c r="D122" i="2"/>
  <c r="E122" i="2" s="1"/>
  <c r="E123" i="2" s="1"/>
  <c r="D124" i="2" s="1"/>
  <c r="E124" i="2" s="1"/>
  <c r="F125" i="2" s="1"/>
  <c r="D237" i="2"/>
  <c r="D235" i="2"/>
  <c r="E235" i="2" s="1"/>
  <c r="E237" i="2" l="1"/>
  <c r="A33" i="2" l="1"/>
  <c r="E315" i="2"/>
  <c r="E314" i="2"/>
  <c r="F316" i="2" l="1"/>
  <c r="A38" i="2"/>
  <c r="F318" i="2" l="1"/>
  <c r="A39" i="2"/>
  <c r="E38" i="2" l="1"/>
  <c r="E267" i="2"/>
  <c r="D269" i="2" s="1"/>
  <c r="E269" i="2" l="1"/>
  <c r="D270" i="2" s="1"/>
  <c r="E270" i="2" s="1"/>
  <c r="E271" i="2" s="1"/>
  <c r="D272" i="2" s="1"/>
  <c r="E272" i="2" s="1"/>
  <c r="F273" i="2" s="1"/>
  <c r="E34" i="2" s="1"/>
  <c r="E33" i="2" s="1"/>
  <c r="E201" i="2"/>
  <c r="D233" i="2" l="1"/>
  <c r="D239" i="2" l="1"/>
  <c r="C21" i="9" l="1"/>
  <c r="C27" i="5" l="1"/>
  <c r="C222" i="2" l="1"/>
  <c r="C221" i="2"/>
  <c r="C223" i="2"/>
  <c r="A37" i="2" l="1"/>
  <c r="A36" i="2"/>
  <c r="A25" i="2"/>
  <c r="A24" i="2"/>
  <c r="A16" i="2"/>
  <c r="C14" i="9" l="1"/>
  <c r="C15" i="9" s="1"/>
  <c r="C17" i="9" l="1"/>
  <c r="C22" i="9" s="1"/>
  <c r="C24" i="9" s="1"/>
  <c r="C192" i="2"/>
  <c r="C197" i="2"/>
  <c r="E48" i="2" l="1"/>
  <c r="E47" i="2"/>
  <c r="E46" i="2"/>
  <c r="E45" i="2"/>
  <c r="E52" i="2"/>
  <c r="C216" i="2" l="1"/>
  <c r="C211" i="2"/>
  <c r="D245" i="2"/>
  <c r="D243" i="2"/>
  <c r="D241" i="2"/>
  <c r="D246" i="2" l="1"/>
  <c r="D171" i="2"/>
  <c r="E171" i="2" s="1"/>
  <c r="E155" i="2"/>
  <c r="E156" i="2"/>
  <c r="E157" i="2"/>
  <c r="E158" i="2"/>
  <c r="E159" i="2"/>
  <c r="E160" i="2"/>
  <c r="E161" i="2"/>
  <c r="E162" i="2"/>
  <c r="E163" i="2"/>
  <c r="E154" i="2"/>
  <c r="D63" i="2" l="1"/>
  <c r="E63" i="2" s="1"/>
  <c r="D62" i="2"/>
  <c r="E62" i="2" s="1"/>
  <c r="D95" i="2"/>
  <c r="E95" i="2" s="1"/>
  <c r="D64" i="2" l="1"/>
  <c r="E64" i="2" s="1"/>
  <c r="D96" i="2"/>
  <c r="E96" i="2" s="1"/>
  <c r="D97" i="2" s="1"/>
  <c r="E97" i="2" s="1"/>
  <c r="C260" i="2" l="1"/>
  <c r="A32" i="2"/>
  <c r="A31" i="2"/>
  <c r="A30" i="2"/>
  <c r="A29" i="2"/>
  <c r="A28" i="2"/>
  <c r="A27" i="2"/>
  <c r="A26" i="2"/>
  <c r="A23" i="2"/>
  <c r="A22" i="2"/>
  <c r="A21" i="2"/>
  <c r="A20" i="2"/>
  <c r="A19" i="2"/>
  <c r="A18" i="2"/>
  <c r="A17" i="2"/>
  <c r="C20" i="8"/>
  <c r="E305" i="2"/>
  <c r="E225" i="2"/>
  <c r="E217" i="2"/>
  <c r="E179" i="2"/>
  <c r="E166" i="2"/>
  <c r="E145" i="2"/>
  <c r="E104" i="2"/>
  <c r="E70" i="2"/>
  <c r="D205" i="2"/>
  <c r="C15" i="4"/>
  <c r="C20" i="4" s="1"/>
  <c r="C323" i="2" s="1"/>
  <c r="F13" i="4"/>
  <c r="E13" i="4"/>
  <c r="D13" i="4"/>
  <c r="C17" i="8"/>
  <c r="C29" i="5"/>
  <c r="E93" i="2"/>
  <c r="D132" i="2" s="1"/>
  <c r="C132" i="2"/>
  <c r="C258" i="2"/>
  <c r="E258" i="2" s="1"/>
  <c r="C239" i="2"/>
  <c r="E239" i="2" s="1"/>
  <c r="E189" i="2"/>
  <c r="C207" i="2" s="1"/>
  <c r="C208" i="2" s="1"/>
  <c r="D210" i="2"/>
  <c r="C198" i="2"/>
  <c r="C193" i="2"/>
  <c r="C301" i="2"/>
  <c r="C303" i="2" s="1"/>
  <c r="E303" i="2" s="1"/>
  <c r="D304" i="2" s="1"/>
  <c r="E304" i="2" s="1"/>
  <c r="C194" i="2"/>
  <c r="C210" i="2" s="1"/>
  <c r="C131" i="2"/>
  <c r="A45" i="2"/>
  <c r="A46" i="2"/>
  <c r="A47" i="2"/>
  <c r="A48" i="2"/>
  <c r="A52" i="2"/>
  <c r="E61" i="2"/>
  <c r="D131" i="2" s="1"/>
  <c r="A137" i="2"/>
  <c r="A143" i="2" s="1"/>
  <c r="A138" i="2"/>
  <c r="A144" i="2" s="1"/>
  <c r="E164" i="2"/>
  <c r="D172" i="2"/>
  <c r="E172" i="2" s="1"/>
  <c r="D173" i="2"/>
  <c r="E173" i="2" s="1"/>
  <c r="D174" i="2"/>
  <c r="E174" i="2" s="1"/>
  <c r="D175" i="2"/>
  <c r="E175" i="2" s="1"/>
  <c r="D176" i="2"/>
  <c r="E176" i="2" s="1"/>
  <c r="E177" i="2"/>
  <c r="E256" i="2"/>
  <c r="D259" i="2" s="1"/>
  <c r="E223" i="2"/>
  <c r="E222" i="2"/>
  <c r="E289" i="2"/>
  <c r="E292" i="2"/>
  <c r="E293" i="2"/>
  <c r="E290" i="2"/>
  <c r="E291" i="2"/>
  <c r="D99" i="2" l="1"/>
  <c r="E99" i="2" s="1"/>
  <c r="E100" i="2" s="1"/>
  <c r="C31" i="5"/>
  <c r="C32" i="5" s="1"/>
  <c r="C30" i="5"/>
  <c r="C31" i="8" s="1"/>
  <c r="D192" i="2"/>
  <c r="E192" i="2" s="1"/>
  <c r="D221" i="2"/>
  <c r="C243" i="2"/>
  <c r="E243" i="2" s="1"/>
  <c r="C245" i="2"/>
  <c r="E245" i="2" s="1"/>
  <c r="F294" i="2"/>
  <c r="F296" i="2" s="1"/>
  <c r="E36" i="2" s="1"/>
  <c r="C138" i="2"/>
  <c r="E138" i="2" s="1"/>
  <c r="E233" i="2"/>
  <c r="E194" i="2"/>
  <c r="C212" i="2" s="1"/>
  <c r="D165" i="2"/>
  <c r="C137" i="2"/>
  <c r="E137" i="2" s="1"/>
  <c r="C165" i="2"/>
  <c r="E49" i="2"/>
  <c r="C143" i="2"/>
  <c r="E143" i="2" s="1"/>
  <c r="E131" i="2"/>
  <c r="E210" i="2"/>
  <c r="C144" i="2"/>
  <c r="E144" i="2" s="1"/>
  <c r="D65" i="2"/>
  <c r="E65" i="2" s="1"/>
  <c r="E66" i="2" s="1"/>
  <c r="D67" i="2" s="1"/>
  <c r="C178" i="2"/>
  <c r="C241" i="2"/>
  <c r="E241" i="2" s="1"/>
  <c r="F252" i="2"/>
  <c r="E301" i="2"/>
  <c r="D302" i="2" s="1"/>
  <c r="E302" i="2" s="1"/>
  <c r="F305" i="2" s="1"/>
  <c r="F307" i="2" s="1"/>
  <c r="E37" i="2" s="1"/>
  <c r="E205" i="2"/>
  <c r="E259" i="2"/>
  <c r="D260" i="2" s="1"/>
  <c r="E260" i="2" s="1"/>
  <c r="F261" i="2" s="1"/>
  <c r="E32" i="2" s="1"/>
  <c r="E132" i="2"/>
  <c r="D178" i="2"/>
  <c r="F247" i="2" l="1"/>
  <c r="E31" i="2"/>
  <c r="C30" i="8"/>
  <c r="C37" i="5"/>
  <c r="C27" i="8" s="1"/>
  <c r="C35" i="8" s="1"/>
  <c r="D193" i="2"/>
  <c r="E193" i="2" s="1"/>
  <c r="E221" i="2"/>
  <c r="D224" i="2" s="1"/>
  <c r="E224" i="2" s="1"/>
  <c r="F225" i="2" s="1"/>
  <c r="E29" i="2" s="1"/>
  <c r="D209" i="2"/>
  <c r="E209" i="2" s="1"/>
  <c r="C28" i="8"/>
  <c r="C19" i="8"/>
  <c r="C25" i="8" s="1"/>
  <c r="C34" i="8" s="1"/>
  <c r="F139" i="2"/>
  <c r="E22" i="2" s="1"/>
  <c r="F145" i="2"/>
  <c r="E23" i="2" s="1"/>
  <c r="E178" i="2"/>
  <c r="F179" i="2" s="1"/>
  <c r="E165" i="2"/>
  <c r="F166" i="2" s="1"/>
  <c r="D197" i="2"/>
  <c r="E197" i="2" s="1"/>
  <c r="D198" i="2" s="1"/>
  <c r="E198" i="2" s="1"/>
  <c r="F133" i="2"/>
  <c r="E21" i="2" s="1"/>
  <c r="D101" i="2"/>
  <c r="E30" i="2" l="1"/>
  <c r="E199" i="2"/>
  <c r="D200" i="2" s="1"/>
  <c r="E200" i="2" s="1"/>
  <c r="F201" i="2" s="1"/>
  <c r="C213" i="2"/>
  <c r="D214" i="2" s="1"/>
  <c r="E214" i="2" s="1"/>
  <c r="E215" i="2" s="1"/>
  <c r="D216" i="2" s="1"/>
  <c r="E216" i="2" s="1"/>
  <c r="F217" i="2" s="1"/>
  <c r="C29" i="8"/>
  <c r="C32" i="8" s="1"/>
  <c r="C36" i="8"/>
  <c r="F181" i="2"/>
  <c r="E24" i="2" s="1"/>
  <c r="E25" i="2" l="1"/>
  <c r="E27" i="2"/>
  <c r="C37" i="8"/>
  <c r="C101" i="2" s="1"/>
  <c r="E28" i="2"/>
  <c r="E26" i="2" l="1"/>
  <c r="E18" i="2"/>
  <c r="C67" i="2"/>
  <c r="E67" i="2" s="1"/>
  <c r="E68" i="2" s="1"/>
  <c r="D69" i="2" s="1"/>
  <c r="E69" i="2" s="1"/>
  <c r="F70" i="2" s="1"/>
  <c r="E17" i="2" s="1"/>
  <c r="E20" i="2"/>
  <c r="E101" i="2"/>
  <c r="E102" i="2" s="1"/>
  <c r="D103" i="2" s="1"/>
  <c r="E103" i="2" s="1"/>
  <c r="F104" i="2" s="1"/>
  <c r="E19" i="2" s="1"/>
  <c r="F147" i="2" l="1"/>
  <c r="D323" i="2" s="1"/>
  <c r="E16" i="2" l="1"/>
  <c r="E323" i="2"/>
  <c r="F324" i="2" s="1"/>
  <c r="F326" i="2" s="1"/>
  <c r="E39" i="2" l="1"/>
  <c r="E40" i="2" s="1"/>
  <c r="F35" i="2" l="1"/>
  <c r="F34" i="2"/>
  <c r="F38" i="2"/>
  <c r="F33" i="2"/>
  <c r="F16" i="2"/>
  <c r="F37" i="2"/>
  <c r="F18" i="2"/>
  <c r="F24" i="2"/>
  <c r="F17" i="2"/>
  <c r="F23" i="2"/>
  <c r="F20" i="2"/>
  <c r="F25" i="2"/>
  <c r="F32" i="2"/>
  <c r="F31" i="2"/>
  <c r="F19" i="2"/>
  <c r="F26" i="2"/>
  <c r="F27" i="2"/>
  <c r="F28" i="2"/>
  <c r="F22" i="2"/>
  <c r="F29" i="2"/>
  <c r="F21" i="2"/>
  <c r="F36" i="2"/>
  <c r="F30" i="2"/>
  <c r="F39" i="2"/>
  <c r="F4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  <author>Elias Ori Machado</author>
  </authors>
  <commentList>
    <comment ref="A14" authorId="0" shapeId="0" xr:uid="{00000000-0006-0000-0000-000001000000}">
      <text>
        <r>
          <rPr>
            <sz val="9"/>
            <color indexed="81"/>
            <rFont val="Tahoma"/>
            <family val="2"/>
          </rPr>
          <t>Qualquer custo previsto no edital e não contemplado nesta planilha modelo deverá ser devidamente incluído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Informar o fator de utilização das equipes de coleta. 
Por exemplo:
Equipes com utilização integral = 100%
Equipes com utilização parcial = n° horas trabalhadas por semana /44 horas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1" authorId="0" shapeId="0" xr:uid="{00000000-0006-0000-0000-000003000000}">
      <text>
        <r>
          <rPr>
            <sz val="9"/>
            <color indexed="81"/>
            <rFont val="Tahoma"/>
            <family val="2"/>
          </rPr>
          <t>Informar o Piso da categoria fixado na Convenção Coletiva ou salário, caso seja superior ao da categoria.</t>
        </r>
      </text>
    </comment>
    <comment ref="C62" authorId="0" shapeId="0" xr:uid="{00000000-0006-0000-0000-000004000000}">
      <text>
        <r>
          <rPr>
            <sz val="9"/>
            <color indexed="81"/>
            <rFont val="Tahoma"/>
            <family val="2"/>
          </rPr>
          <t>Informar o número de horas extras trabalhadas nos domingos e feriados em horário diurno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Informar o número de horas extras trabalhadas em horário diurno de segunda a sábado 
</t>
        </r>
      </text>
    </comment>
    <comment ref="A64" authorId="0" shapeId="0" xr:uid="{00000000-0006-0000-0000-000006000000}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7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69" authorId="0" shapeId="0" xr:uid="{00000000-0006-0000-0000-000008000000}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C75" authorId="0" shapeId="0" xr:uid="{00000000-0006-0000-0000-000009000000}">
      <text>
        <r>
          <rPr>
            <sz val="9"/>
            <color indexed="81"/>
            <rFont val="Tahoma"/>
            <family val="2"/>
          </rPr>
          <t>Informar o número de horas noturnas trabalhadas no intervalo das 22:00h as 5:00h</t>
        </r>
      </text>
    </comment>
    <comment ref="C77" authorId="0" shapeId="0" xr:uid="{00000000-0006-0000-0000-00000A000000}">
      <text>
        <r>
          <rPr>
            <sz val="9"/>
            <color indexed="81"/>
            <rFont val="Tahoma"/>
            <family val="2"/>
          </rPr>
          <t>Informar o número de horas extras trabalhadas em horário diurno nos domingos e feriados</t>
        </r>
      </text>
    </comment>
    <comment ref="C78" authorId="0" shapeId="0" xr:uid="{00000000-0006-0000-0000-00000B000000}">
      <text>
        <r>
          <rPr>
            <sz val="9"/>
            <color indexed="81"/>
            <rFont val="Tahoma"/>
            <family val="2"/>
          </rPr>
          <t xml:space="preserve">Informar o número de horas extras trabalhadas em horário noturno (das 22:00h as 5h) nos domingos e feriados
</t>
        </r>
      </text>
    </comment>
    <comment ref="C80" authorId="0" shapeId="0" xr:uid="{00000000-0006-0000-0000-00000C000000}">
      <text>
        <r>
          <rPr>
            <sz val="9"/>
            <color indexed="81"/>
            <rFont val="Tahoma"/>
            <family val="2"/>
          </rPr>
          <t>Informar o número de horas extras trabalhadas em horário noturno de segunda à sábado</t>
        </r>
      </text>
    </comment>
    <comment ref="C81" authorId="0" shapeId="0" xr:uid="{00000000-0006-0000-0000-00000D000000}">
      <text>
        <r>
          <rPr>
            <sz val="9"/>
            <color indexed="81"/>
            <rFont val="Tahoma"/>
            <family val="2"/>
          </rPr>
          <t>Informar o número de horas extras trabalhadas em horário noturno (das 22:00h as 5h) de segunda a sábado</t>
        </r>
      </text>
    </comment>
    <comment ref="A83" authorId="0" shapeId="0" xr:uid="{00000000-0006-0000-0000-00000E000000}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Considerados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6" authorId="0" shapeId="0" xr:uid="{00000000-0006-0000-0000-00000F000000}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88" authorId="0" shapeId="0" xr:uid="{00000000-0006-0000-0000-000010000000}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93" authorId="0" shapeId="0" xr:uid="{00000000-0006-0000-0000-000011000000}">
      <text>
        <r>
          <rPr>
            <sz val="9"/>
            <color indexed="81"/>
            <rFont val="Tahoma"/>
            <family val="2"/>
          </rPr>
          <t>Informar o Piso da categoria fixado na Convenção Coletiva, ou salário, caso seja superior à categoria.</t>
        </r>
      </text>
    </comment>
    <comment ref="D94" authorId="0" shapeId="0" xr:uid="{00000000-0006-0000-0000-000012000000}">
      <text>
        <r>
          <rPr>
            <sz val="9"/>
            <color indexed="81"/>
            <rFont val="Tahoma"/>
            <family val="2"/>
          </rPr>
          <t>Informar o valor do salário Mínimo Nacional</t>
        </r>
      </text>
    </comment>
    <comment ref="C95" authorId="0" shapeId="0" xr:uid="{00000000-0006-0000-0000-000013000000}">
      <text>
        <r>
          <rPr>
            <sz val="9"/>
            <color indexed="81"/>
            <rFont val="Tahoma"/>
            <family val="2"/>
          </rPr>
          <t>Informar o número de horas extras trabalhadas em horário diurno nos domingos e feriados</t>
        </r>
      </text>
    </comment>
    <comment ref="C96" authorId="0" shapeId="0" xr:uid="{00000000-0006-0000-0000-000014000000}">
      <text>
        <r>
          <rPr>
            <sz val="9"/>
            <color indexed="81"/>
            <rFont val="Tahoma"/>
            <family val="2"/>
          </rPr>
          <t xml:space="preserve">Informar o número de horas extras trabalhadas em horário diurno de segunda a sábado 
</t>
        </r>
      </text>
    </comment>
    <comment ref="A97" authorId="0" shapeId="0" xr:uid="{00000000-0006-0000-0000-000015000000}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8" authorId="0" shapeId="0" xr:uid="{00000000-0006-0000-0000-000016000000}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99" authorId="0" shapeId="0" xr:uid="{00000000-0006-0000-0000-000017000000}">
      <text>
        <r>
          <rPr>
            <sz val="9"/>
            <color indexed="81"/>
            <rFont val="Tahoma"/>
            <family val="2"/>
          </rPr>
          <t>Percentual estabelecido nas Normas de Segurança de Trabalho ou pelo laudo de responsável técnico devidamente habilitado</t>
        </r>
      </text>
    </comment>
    <comment ref="C101" authorId="0" shapeId="0" xr:uid="{00000000-0006-0000-0000-000018000000}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103" authorId="0" shapeId="0" xr:uid="{00000000-0006-0000-0000-000019000000}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C110" authorId="0" shapeId="0" xr:uid="{00000000-0006-0000-0000-00001A000000}">
      <text>
        <r>
          <rPr>
            <sz val="9"/>
            <color indexed="81"/>
            <rFont val="Tahoma"/>
            <family val="2"/>
          </rPr>
          <t>Informar o número de horas noturnas trabalhadas no intervalo das 22:00h as 5:00h</t>
        </r>
      </text>
    </comment>
    <comment ref="C112" authorId="0" shapeId="0" xr:uid="{00000000-0006-0000-0000-00001B000000}">
      <text>
        <r>
          <rPr>
            <sz val="9"/>
            <color indexed="81"/>
            <rFont val="Tahoma"/>
            <family val="2"/>
          </rPr>
          <t>Informar o número de horas extras trabalhadas em horário noturno nos domingos e feriados</t>
        </r>
      </text>
    </comment>
    <comment ref="C113" authorId="0" shapeId="0" xr:uid="{00000000-0006-0000-0000-00001C000000}">
      <text>
        <r>
          <rPr>
            <sz val="9"/>
            <color indexed="81"/>
            <rFont val="Tahoma"/>
            <family val="2"/>
          </rPr>
          <t xml:space="preserve">Informar o número de horas extras trabalhadas em horário noturno (das 22:00h as 5h) nos domingos e feriados
</t>
        </r>
      </text>
    </comment>
    <comment ref="C115" authorId="0" shapeId="0" xr:uid="{00000000-0006-0000-0000-00001D000000}">
      <text>
        <r>
          <rPr>
            <sz val="9"/>
            <color indexed="81"/>
            <rFont val="Tahoma"/>
            <family val="2"/>
          </rPr>
          <t>Informar o número de horas extras trabalhadas em horário noturno de segunda à sábado</t>
        </r>
      </text>
    </comment>
    <comment ref="C116" authorId="0" shapeId="0" xr:uid="{00000000-0006-0000-0000-00001E000000}">
      <text>
        <r>
          <rPr>
            <sz val="9"/>
            <color indexed="81"/>
            <rFont val="Tahoma"/>
            <family val="2"/>
          </rPr>
          <t>Informar o número de horas extras trabalhadas em horário noturno (das 22:00h as 5h) de segunda a sábado</t>
        </r>
      </text>
    </comment>
    <comment ref="A118" authorId="0" shapeId="0" xr:uid="{00000000-0006-0000-0000-00001F000000}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Considerados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9" authorId="0" shapeId="0" xr:uid="{00000000-0006-0000-0000-000020000000}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122" authorId="0" shapeId="0" xr:uid="{00000000-0006-0000-0000-000021000000}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124" authorId="0" shapeId="0" xr:uid="{00000000-0006-0000-0000-000022000000}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129" authorId="0" shapeId="0" xr:uid="{00000000-0006-0000-0000-000023000000}">
      <text>
        <r>
          <rPr>
            <sz val="9"/>
            <color indexed="81"/>
            <rFont val="Tahoma"/>
            <family val="2"/>
          </rPr>
          <t>Informar o valor unitário do VT no município</t>
        </r>
      </text>
    </comment>
    <comment ref="C130" authorId="0" shapeId="0" xr:uid="{00000000-0006-0000-0000-000024000000}">
      <text>
        <r>
          <rPr>
            <sz val="9"/>
            <color indexed="81"/>
            <rFont val="Tahoma"/>
            <family val="2"/>
          </rPr>
          <t>Informar o número médio de dias trabalhados por mês</t>
        </r>
      </text>
    </comment>
    <comment ref="D131" authorId="0" shapeId="0" xr:uid="{00000000-0006-0000-0000-000025000000}">
      <text>
        <r>
          <rPr>
            <sz val="9"/>
            <color indexed="81"/>
            <rFont val="Tahoma"/>
            <family val="2"/>
          </rPr>
          <t>Valor Unitário considerando o desconto legal de até 6% do salário</t>
        </r>
      </text>
    </comment>
    <comment ref="D132" authorId="0" shapeId="0" xr:uid="{00000000-0006-0000-0000-000026000000}">
      <text>
        <r>
          <rPr>
            <sz val="9"/>
            <color indexed="81"/>
            <rFont val="Tahoma"/>
            <family val="2"/>
          </rPr>
          <t xml:space="preserve">Valor Unitário considerando o desconto legal de até 6% do salário
</t>
        </r>
      </text>
    </comment>
    <comment ref="D137" authorId="0" shapeId="0" xr:uid="{00000000-0006-0000-0000-000027000000}">
      <text>
        <r>
          <rPr>
            <sz val="9"/>
            <color indexed="81"/>
            <rFont val="Tahoma"/>
            <family val="2"/>
          </rPr>
          <t>Informar o valor unitário diário do vale refeição, considerando o desconto aplicável ao funcionário, conforme Convenção Coletiva da categoria.</t>
        </r>
      </text>
    </comment>
    <comment ref="D138" authorId="0" shapeId="0" xr:uid="{00000000-0006-0000-0000-000028000000}">
      <text>
        <r>
          <rPr>
            <sz val="9"/>
            <color indexed="81"/>
            <rFont val="Tahoma"/>
            <family val="2"/>
          </rPr>
          <t>Informar o valor unitário diário do vale refeição, considerando o desconto aplicável ao funcionário, conforme Convenção Coletiva da categoria.</t>
        </r>
      </text>
    </comment>
    <comment ref="D143" authorId="0" shapeId="0" xr:uid="{00000000-0006-0000-0000-000029000000}">
      <text>
        <r>
          <rPr>
            <sz val="9"/>
            <color indexed="81"/>
            <rFont val="Tahoma"/>
            <family val="2"/>
          </rPr>
          <t>Informar o valor mensal do auxilio alimentação, considerando o desconto aplicável ao funcionário, conforme Convenção Coletiva da categoria</t>
        </r>
      </text>
    </comment>
    <comment ref="D144" authorId="0" shapeId="0" xr:uid="{00000000-0006-0000-0000-00002A000000}">
      <text>
        <r>
          <rPr>
            <sz val="9"/>
            <color indexed="81"/>
            <rFont val="Tahoma"/>
            <family val="2"/>
          </rPr>
          <t>Informar o valor mensal do auxilio alimentação, considerando o desconto aplicável ao funcionário, conforme Convenção Coletiva da categoria</t>
        </r>
      </text>
    </comment>
    <comment ref="C154" authorId="0" shapeId="0" xr:uid="{00000000-0006-0000-0000-00002B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4" authorId="0" shapeId="0" xr:uid="{00000000-0006-0000-0000-00002C000000}">
      <text>
        <r>
          <rPr>
            <sz val="9"/>
            <color indexed="81"/>
            <rFont val="Tahoma"/>
            <family val="2"/>
          </rPr>
          <t>Informar o valor unitário do custo real para aquisição de cada EPI</t>
        </r>
      </text>
    </comment>
    <comment ref="C155" authorId="0" shapeId="0" xr:uid="{00000000-0006-0000-0000-00002D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5" authorId="0" shapeId="0" xr:uid="{00000000-0006-0000-0000-00002E000000}">
      <text>
        <r>
          <rPr>
            <sz val="9"/>
            <color indexed="81"/>
            <rFont val="Tahoma"/>
            <family val="2"/>
          </rPr>
          <t>Informar o valor unitário do custo real para aquisição de cada EPI</t>
        </r>
      </text>
    </comment>
    <comment ref="C156" authorId="0" shapeId="0" xr:uid="{00000000-0006-0000-0000-00002F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6" authorId="0" shapeId="0" xr:uid="{00000000-0006-0000-0000-000030000000}">
      <text>
        <r>
          <rPr>
            <sz val="9"/>
            <color indexed="81"/>
            <rFont val="Tahoma"/>
            <family val="2"/>
          </rPr>
          <t>Informar o valor unitário do custo real para aquisição de cada EPI</t>
        </r>
      </text>
    </comment>
    <comment ref="C157" authorId="0" shapeId="0" xr:uid="{00000000-0006-0000-0000-000031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7" authorId="0" shapeId="0" xr:uid="{00000000-0006-0000-0000-000032000000}">
      <text>
        <r>
          <rPr>
            <sz val="9"/>
            <color indexed="81"/>
            <rFont val="Tahoma"/>
            <family val="2"/>
          </rPr>
          <t>Informar o valor unitário do custo real para aquisição de cada EPI</t>
        </r>
      </text>
    </comment>
    <comment ref="C158" authorId="0" shapeId="0" xr:uid="{00000000-0006-0000-0000-000033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8" authorId="0" shapeId="0" xr:uid="{00000000-0006-0000-0000-000034000000}">
      <text>
        <r>
          <rPr>
            <sz val="9"/>
            <color indexed="81"/>
            <rFont val="Tahoma"/>
            <family val="2"/>
          </rPr>
          <t>Informar o valor unitário do custo real para aquisição de cada EPI</t>
        </r>
      </text>
    </comment>
    <comment ref="C159" authorId="0" shapeId="0" xr:uid="{00000000-0006-0000-0000-000035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9" authorId="0" shapeId="0" xr:uid="{00000000-0006-0000-0000-000036000000}">
      <text>
        <r>
          <rPr>
            <sz val="9"/>
            <color indexed="81"/>
            <rFont val="Tahoma"/>
            <family val="2"/>
          </rPr>
          <t>Informar o valor unitário do custo real para aquisição de cada EPI</t>
        </r>
      </text>
    </comment>
    <comment ref="C160" authorId="0" shapeId="0" xr:uid="{00000000-0006-0000-0000-000037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60" authorId="0" shapeId="0" xr:uid="{00000000-0006-0000-0000-000038000000}">
      <text>
        <r>
          <rPr>
            <sz val="9"/>
            <color indexed="81"/>
            <rFont val="Tahoma"/>
            <family val="2"/>
          </rPr>
          <t>Informar o valor unitário do custo real para aquisição de cada EPI</t>
        </r>
      </text>
    </comment>
    <comment ref="C161" authorId="0" shapeId="0" xr:uid="{00000000-0006-0000-0000-000039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61" authorId="0" shapeId="0" xr:uid="{00000000-0006-0000-0000-00003A000000}">
      <text>
        <r>
          <rPr>
            <sz val="9"/>
            <color indexed="81"/>
            <rFont val="Tahoma"/>
            <family val="2"/>
          </rPr>
          <t>Informar o valor unitário do custo real para aquisição de cada EPI</t>
        </r>
      </text>
    </comment>
    <comment ref="C162" authorId="0" shapeId="0" xr:uid="{00000000-0006-0000-0000-00003B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62" authorId="0" shapeId="0" xr:uid="{00000000-0006-0000-0000-00003C000000}">
      <text>
        <r>
          <rPr>
            <sz val="9"/>
            <color indexed="81"/>
            <rFont val="Tahoma"/>
            <family val="2"/>
          </rPr>
          <t>Informar o valor unitário do custo real para aquisição de cada EPI</t>
        </r>
      </text>
    </comment>
    <comment ref="C163" authorId="0" shapeId="0" xr:uid="{00000000-0006-0000-0000-00003D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63" authorId="0" shapeId="0" xr:uid="{00000000-0006-0000-0000-00003E000000}">
      <text>
        <r>
          <rPr>
            <sz val="9"/>
            <color indexed="81"/>
            <rFont val="Tahoma"/>
            <family val="2"/>
          </rPr>
          <t>Informar o valor unitário do custo real para aquisição de cada EPI</t>
        </r>
      </text>
    </comment>
    <comment ref="D164" authorId="0" shapeId="0" xr:uid="{00000000-0006-0000-0000-00003F000000}">
      <text>
        <r>
          <rPr>
            <sz val="9"/>
            <color indexed="81"/>
            <rFont val="Tahoma"/>
            <family val="2"/>
          </rPr>
          <t>Informar o valor mensal de higienização de uniforme para 1 funcionário</t>
        </r>
      </text>
    </comment>
    <comment ref="C171" authorId="0" shapeId="0" xr:uid="{00000000-0006-0000-0000-000040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72" authorId="0" shapeId="0" xr:uid="{00000000-0006-0000-0000-000041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73" authorId="0" shapeId="0" xr:uid="{00000000-0006-0000-0000-000042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74" authorId="0" shapeId="0" xr:uid="{00000000-0006-0000-0000-000043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75" authorId="0" shapeId="0" xr:uid="{00000000-0006-0000-0000-000044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76" authorId="0" shapeId="0" xr:uid="{00000000-0006-0000-0000-000045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77" authorId="0" shapeId="0" xr:uid="{00000000-0006-0000-0000-000046000000}">
      <text>
        <r>
          <rPr>
            <sz val="9"/>
            <color indexed="81"/>
            <rFont val="Tahoma"/>
            <family val="2"/>
          </rPr>
          <t>Informar o valor mensal de higienização de uniforme para 1 funcionário</t>
        </r>
      </text>
    </comment>
    <comment ref="D189" authorId="0" shapeId="0" xr:uid="{00000000-0006-0000-0000-000047000000}">
      <text>
        <r>
          <rPr>
            <sz val="9"/>
            <color indexed="81"/>
            <rFont val="Tahoma"/>
            <family val="2"/>
          </rPr>
          <t>Informar o preço unitário do chassis do caminhão de coleta</t>
        </r>
      </text>
    </comment>
    <comment ref="C190" authorId="0" shapeId="0" xr:uid="{00000000-0006-0000-0000-000048000000}">
      <text>
        <r>
          <rPr>
            <sz val="9"/>
            <color indexed="81"/>
            <rFont val="Tahoma"/>
            <family val="2"/>
          </rPr>
          <t>Informar a vida útil estimada para o caminhão, em anos</t>
        </r>
      </text>
    </comment>
    <comment ref="C191" authorId="0" shapeId="0" xr:uid="{00000000-0006-0000-0000-000049000000}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veículo proposto.</t>
        </r>
      </text>
    </comment>
    <comment ref="C192" authorId="0" shapeId="0" xr:uid="{00000000-0006-0000-0000-00004A000000}">
      <text>
        <r>
          <rPr>
            <b/>
            <sz val="9"/>
            <color indexed="81"/>
            <rFont val="Tahoma"/>
            <family val="2"/>
          </rPr>
          <t xml:space="preserve">Informar o valor da depreciação do caminhão,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4" authorId="0" shapeId="0" xr:uid="{00000000-0006-0000-0000-00004B000000}">
      <text>
        <r>
          <rPr>
            <sz val="9"/>
            <color indexed="81"/>
            <rFont val="Tahoma"/>
            <family val="2"/>
          </rPr>
          <t xml:space="preserve">Informar o preço unitário do equipamento compactador
</t>
        </r>
      </text>
    </comment>
    <comment ref="C195" authorId="0" shapeId="0" xr:uid="{00000000-0006-0000-0000-00004C000000}">
      <text>
        <r>
          <rPr>
            <sz val="9"/>
            <color indexed="81"/>
            <rFont val="Tahoma"/>
            <family val="2"/>
          </rPr>
          <t>Informar a vida útil estimada para o compactador, em anos</t>
        </r>
      </text>
    </comment>
    <comment ref="C196" authorId="0" shapeId="0" xr:uid="{00000000-0006-0000-0000-00004D000000}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compactador proposto.</t>
        </r>
      </text>
    </comment>
    <comment ref="C197" authorId="0" shapeId="0" xr:uid="{00000000-0006-0000-0000-00004E000000}">
      <text>
        <r>
          <rPr>
            <b/>
            <sz val="9"/>
            <color indexed="81"/>
            <rFont val="Tahoma"/>
            <family val="2"/>
          </rPr>
          <t xml:space="preserve">Informar o valor da depreciação do compactador,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00" authorId="0" shapeId="0" xr:uid="{00000000-0006-0000-0000-00004F000000}">
      <text>
        <r>
          <rPr>
            <sz val="9"/>
            <color indexed="81"/>
            <rFont val="Tahoma"/>
            <family val="2"/>
          </rPr>
          <t>Informar a quantidade de caminhões compactadores do respectivo modelo</t>
        </r>
      </text>
    </comment>
    <comment ref="C206" authorId="0" shapeId="0" xr:uid="{00000000-0006-0000-0000-000050000000}">
      <text>
        <r>
          <rPr>
            <b/>
            <sz val="9"/>
            <color indexed="81"/>
            <rFont val="Tahoma"/>
            <family val="2"/>
          </rPr>
          <t>Informar a taxa de juros anual para remuneração do capital. Recomenda-se o uso da Taxa SELIC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2" authorId="0" shapeId="0" xr:uid="{00000000-0006-0000-0000-000051000000}">
      <text>
        <r>
          <rPr>
            <sz val="9"/>
            <color indexed="81"/>
            <rFont val="Tahoma"/>
            <family val="2"/>
          </rPr>
          <t xml:space="preserve">Informar o valor do seguro obrigatório e licenciamento anual de um caminhão
</t>
        </r>
      </text>
    </comment>
    <comment ref="D223" authorId="0" shapeId="0" xr:uid="{00000000-0006-0000-0000-000052000000}">
      <text>
        <r>
          <rPr>
            <sz val="9"/>
            <color indexed="81"/>
            <rFont val="Tahoma"/>
            <family val="2"/>
          </rPr>
          <t xml:space="preserve">Informar o valor do seguro contra terceiros de um caminhão, se houver previsão no Projeto Básico
</t>
        </r>
      </text>
    </comment>
    <comment ref="B229" authorId="0" shapeId="0" xr:uid="{00000000-0006-0000-0000-000053000000}">
      <text>
        <r>
          <rPr>
            <sz val="9"/>
            <color indexed="81"/>
            <rFont val="Tahoma"/>
            <family val="2"/>
          </rPr>
          <t xml:space="preserve">Informar a quilometragem mensal percorrida, de acordo com o projeto básico.
Estimativa: 
a) 4.740km referem-se à coleta seletiva e convencional.
B) 140km refere-se à coleta do container.
</t>
        </r>
      </text>
    </comment>
    <comment ref="C232" authorId="0" shapeId="0" xr:uid="{00000000-0006-0000-0000-000054000000}">
      <text>
        <r>
          <rPr>
            <sz val="9"/>
            <color indexed="81"/>
            <rFont val="Tahoma"/>
            <family val="2"/>
          </rPr>
          <t>Informar o consumo estimado do veículo em km/l</t>
        </r>
      </text>
    </comment>
    <comment ref="D232" authorId="0" shapeId="0" xr:uid="{00000000-0006-0000-0000-000055000000}">
      <text>
        <r>
          <rPr>
            <sz val="9"/>
            <color indexed="81"/>
            <rFont val="Tahoma"/>
            <family val="2"/>
          </rPr>
          <t xml:space="preserve">Informar o preço unitário do combustivel
</t>
        </r>
      </text>
    </comment>
    <comment ref="C234" authorId="0" shapeId="0" xr:uid="{999450FD-3C0D-4C23-ADEF-83D72A8AFF95}">
      <text>
        <r>
          <rPr>
            <sz val="9"/>
            <color indexed="81"/>
            <rFont val="Tahoma"/>
            <family val="2"/>
          </rPr>
          <t>Informar o consumo estimado do veículo em km/l</t>
        </r>
      </text>
    </comment>
    <comment ref="D234" authorId="0" shapeId="0" xr:uid="{67137BA6-A6D2-453D-8965-0F660947987D}">
      <text>
        <r>
          <rPr>
            <sz val="9"/>
            <color indexed="81"/>
            <rFont val="Tahoma"/>
            <family val="2"/>
          </rPr>
          <t xml:space="preserve">Informar o preço unitário do combustivel
</t>
        </r>
      </text>
    </comment>
    <comment ref="C235" authorId="1" shapeId="0" xr:uid="{95EF235A-7BB7-49B9-A944-095A46F56564}">
      <text>
        <r>
          <rPr>
            <b/>
            <sz val="9"/>
            <color indexed="81"/>
            <rFont val="Segoe UI"/>
            <family val="2"/>
          </rPr>
          <t>A empresa participante deverá adequar a quilometragem estimada até o destino final levando em consideração a quilometragem exata do destino final, ou seja, a realidade da empresa vencedora.</t>
        </r>
      </text>
    </comment>
    <comment ref="C236" authorId="0" shapeId="0" xr:uid="{F08D846A-BE11-40D8-81DC-F385848D0A5F}">
      <text>
        <r>
          <rPr>
            <sz val="9"/>
            <color indexed="81"/>
            <rFont val="Tahoma"/>
            <family val="2"/>
          </rPr>
          <t>Informar o consumo estimado do veículo em km/l</t>
        </r>
      </text>
    </comment>
    <comment ref="D236" authorId="0" shapeId="0" xr:uid="{F16D12A7-7C71-4C10-9CE7-A7B7CB5D6175}">
      <text>
        <r>
          <rPr>
            <sz val="9"/>
            <color indexed="81"/>
            <rFont val="Tahoma"/>
            <family val="2"/>
          </rPr>
          <t xml:space="preserve">Informar o preço unitário do combustivel
</t>
        </r>
      </text>
    </comment>
    <comment ref="C237" authorId="1" shapeId="0" xr:uid="{7BDFFA90-4435-4F38-A96C-3CB9982BB828}">
      <text>
        <r>
          <rPr>
            <b/>
            <sz val="9"/>
            <color indexed="81"/>
            <rFont val="Segoe UI"/>
            <family val="2"/>
          </rPr>
          <t>A empresa participante deverá adequar a quilometragem estimada até o destino final levando em consideração a quilometragem exata do destino final, ou seja, a realidade da empresa vencedora.</t>
        </r>
      </text>
    </comment>
    <comment ref="C238" authorId="0" shapeId="0" xr:uid="{00000000-0006-0000-0000-000056000000}">
      <text>
        <r>
          <rPr>
            <sz val="9"/>
            <color indexed="81"/>
            <rFont val="Tahoma"/>
            <family val="2"/>
          </rPr>
          <t>Informar o consumo de óleo do motor a cada 1000km</t>
        </r>
      </text>
    </comment>
    <comment ref="D238" authorId="0" shapeId="0" xr:uid="{00000000-0006-0000-0000-000057000000}">
      <text>
        <r>
          <rPr>
            <sz val="9"/>
            <color indexed="81"/>
            <rFont val="Tahoma"/>
            <family val="2"/>
          </rPr>
          <t xml:space="preserve">Informar o preço unitário do litro do óleo do motor
</t>
        </r>
      </text>
    </comment>
    <comment ref="C240" authorId="0" shapeId="0" xr:uid="{00000000-0006-0000-0000-000058000000}">
      <text>
        <r>
          <rPr>
            <sz val="9"/>
            <color indexed="81"/>
            <rFont val="Tahoma"/>
            <family val="2"/>
          </rPr>
          <t>Informar o consumo de óleo da transmissão a cada 1000km</t>
        </r>
      </text>
    </comment>
    <comment ref="D240" authorId="0" shapeId="0" xr:uid="{00000000-0006-0000-0000-000059000000}">
      <text>
        <r>
          <rPr>
            <sz val="9"/>
            <color indexed="81"/>
            <rFont val="Tahoma"/>
            <family val="2"/>
          </rPr>
          <t xml:space="preserve">Informar o preço unitário do litro do óleo da transmissão
</t>
        </r>
      </text>
    </comment>
    <comment ref="C242" authorId="0" shapeId="0" xr:uid="{00000000-0006-0000-0000-00005A000000}">
      <text>
        <r>
          <rPr>
            <sz val="9"/>
            <color indexed="81"/>
            <rFont val="Tahoma"/>
            <family val="2"/>
          </rPr>
          <t>Informar o consumo de óleo hidráulico a cada 1000km</t>
        </r>
      </text>
    </comment>
    <comment ref="D242" authorId="0" shapeId="0" xr:uid="{00000000-0006-0000-0000-00005B000000}">
      <text>
        <r>
          <rPr>
            <sz val="9"/>
            <color indexed="81"/>
            <rFont val="Tahoma"/>
            <family val="2"/>
          </rPr>
          <t xml:space="preserve">Informar o preço unitário do litro do óleo hidráulico
</t>
        </r>
      </text>
    </comment>
    <comment ref="C244" authorId="0" shapeId="0" xr:uid="{00000000-0006-0000-0000-00005C000000}">
      <text>
        <r>
          <rPr>
            <sz val="9"/>
            <color indexed="81"/>
            <rFont val="Tahoma"/>
            <family val="2"/>
          </rPr>
          <t>Informar o consumo de graxa a cada 1000km</t>
        </r>
      </text>
    </comment>
    <comment ref="D244" authorId="0" shapeId="0" xr:uid="{00000000-0006-0000-0000-00005D000000}">
      <text>
        <r>
          <rPr>
            <sz val="9"/>
            <color indexed="81"/>
            <rFont val="Tahoma"/>
            <family val="2"/>
          </rPr>
          <t xml:space="preserve">Informar o preço unitário do litro da graxa
</t>
        </r>
      </text>
    </comment>
    <comment ref="D251" authorId="0" shapeId="0" xr:uid="{00000000-0006-0000-0000-00005E000000}">
      <text>
        <r>
          <rPr>
            <sz val="9"/>
            <color indexed="81"/>
            <rFont val="Tahoma"/>
            <family val="2"/>
          </rPr>
          <t xml:space="preserve">Informar o custo de manutenção em R$/km rodado
</t>
        </r>
      </text>
    </comment>
    <comment ref="C256" authorId="0" shapeId="0" xr:uid="{00000000-0006-0000-0000-00005F000000}">
      <text>
        <r>
          <rPr>
            <sz val="9"/>
            <color indexed="81"/>
            <rFont val="Tahoma"/>
            <family val="2"/>
          </rPr>
          <t>Informar a quantidade de pneus novos de 1 caminhão</t>
        </r>
      </text>
    </comment>
    <comment ref="D256" authorId="0" shapeId="0" xr:uid="{00000000-0006-0000-0000-000060000000}">
      <text>
        <r>
          <rPr>
            <sz val="9"/>
            <color indexed="81"/>
            <rFont val="Tahoma"/>
            <family val="2"/>
          </rPr>
          <t xml:space="preserve">Informar o preço unitário de cada pneu
</t>
        </r>
      </text>
    </comment>
    <comment ref="C257" authorId="0" shapeId="0" xr:uid="{00000000-0006-0000-0000-000061000000}">
      <text>
        <r>
          <rPr>
            <sz val="9"/>
            <color indexed="81"/>
            <rFont val="Tahoma"/>
            <family val="2"/>
          </rPr>
          <t>Informar o número de recapagens por pneu</t>
        </r>
      </text>
    </comment>
    <comment ref="D258" authorId="0" shapeId="0" xr:uid="{00000000-0006-0000-0000-000062000000}">
      <text>
        <r>
          <rPr>
            <sz val="9"/>
            <color indexed="81"/>
            <rFont val="Tahoma"/>
            <family val="2"/>
          </rPr>
          <t xml:space="preserve">Informar o preço unitário de cada recapagem
</t>
        </r>
      </text>
    </comment>
    <comment ref="C259" authorId="0" shapeId="0" xr:uid="{00000000-0006-0000-0000-000063000000}">
      <text>
        <r>
          <rPr>
            <sz val="9"/>
            <color indexed="81"/>
            <rFont val="Tahoma"/>
            <family val="2"/>
          </rPr>
          <t xml:space="preserve">Informar a durabilidade média dos pneus considerando as recapagens, em km
</t>
        </r>
      </text>
    </comment>
    <comment ref="D267" authorId="0" shapeId="0" xr:uid="{00000000-0006-0000-0000-000064000000}">
      <text>
        <r>
          <rPr>
            <sz val="9"/>
            <color indexed="81"/>
            <rFont val="Tahoma"/>
            <family val="2"/>
          </rPr>
          <t>Informar o preço unitário do container.</t>
        </r>
      </text>
    </comment>
    <comment ref="C272" authorId="0" shapeId="0" xr:uid="{00000000-0006-0000-0000-000065000000}">
      <text>
        <r>
          <rPr>
            <sz val="9"/>
            <color indexed="81"/>
            <rFont val="Tahoma"/>
            <family val="2"/>
          </rPr>
          <t>Informar a quantidade de caminhões compactadores do respectivo modelo</t>
        </r>
      </text>
    </comment>
    <comment ref="C289" authorId="0" shapeId="0" xr:uid="{00000000-0006-0000-0000-000066000000}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89" authorId="0" shapeId="0" xr:uid="{00000000-0006-0000-0000-000067000000}">
      <text>
        <r>
          <rPr>
            <sz val="9"/>
            <color indexed="81"/>
            <rFont val="Tahoma"/>
            <family val="2"/>
          </rPr>
          <t>Informar o valor unitário de custo real para aquisição de cada material</t>
        </r>
      </text>
    </comment>
    <comment ref="C290" authorId="0" shapeId="0" xr:uid="{00000000-0006-0000-0000-000068000000}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90" authorId="0" shapeId="0" xr:uid="{00000000-0006-0000-0000-000069000000}">
      <text>
        <r>
          <rPr>
            <sz val="9"/>
            <color indexed="81"/>
            <rFont val="Tahoma"/>
            <family val="2"/>
          </rPr>
          <t>Informar o valor unitário de custo real para aquisição de cada material</t>
        </r>
      </text>
    </comment>
    <comment ref="C291" authorId="0" shapeId="0" xr:uid="{00000000-0006-0000-0000-00006A000000}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91" authorId="0" shapeId="0" xr:uid="{00000000-0006-0000-0000-00006B000000}">
      <text>
        <r>
          <rPr>
            <sz val="9"/>
            <color indexed="81"/>
            <rFont val="Tahoma"/>
            <family val="2"/>
          </rPr>
          <t>Informar o valor unitário de custo real para aquisição de cada material</t>
        </r>
      </text>
    </comment>
    <comment ref="C292" authorId="0" shapeId="0" xr:uid="{00000000-0006-0000-0000-00006C000000}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92" authorId="0" shapeId="0" xr:uid="{00000000-0006-0000-0000-00006D000000}">
      <text>
        <r>
          <rPr>
            <sz val="9"/>
            <color indexed="81"/>
            <rFont val="Tahoma"/>
            <family val="2"/>
          </rPr>
          <t>Informar o valor unitário de custo real para aquisição de cada material</t>
        </r>
      </text>
    </comment>
    <comment ref="C293" authorId="0" shapeId="0" xr:uid="{00000000-0006-0000-0000-00006E000000}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93" authorId="0" shapeId="0" xr:uid="{00000000-0006-0000-0000-00006F000000}">
      <text>
        <r>
          <rPr>
            <sz val="9"/>
            <color indexed="81"/>
            <rFont val="Tahoma"/>
            <family val="2"/>
          </rPr>
          <t>Informar o valor unitário de custo real para aquisição de cada material</t>
        </r>
      </text>
    </comment>
    <comment ref="A298" authorId="0" shapeId="0" xr:uid="{00000000-0006-0000-0000-000070000000}">
      <text>
        <r>
          <rPr>
            <b/>
            <sz val="9"/>
            <color indexed="81"/>
            <rFont val="Tahoma"/>
            <family val="2"/>
          </rPr>
          <t>Especificar somente quando for exigido no Projeto Básico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01" authorId="0" shapeId="0" xr:uid="{00000000-0006-0000-0000-000071000000}">
      <text>
        <r>
          <rPr>
            <sz val="9"/>
            <color indexed="81"/>
            <rFont val="Tahoma"/>
            <family val="2"/>
          </rPr>
          <t>Informar o valor total para instalação do equipamento de monitoramento da frota, se houver previsão no Projeto Básico</t>
        </r>
      </text>
    </comment>
    <comment ref="D303" authorId="0" shapeId="0" xr:uid="{00000000-0006-0000-0000-000072000000}">
      <text>
        <r>
          <rPr>
            <sz val="9"/>
            <color indexed="81"/>
            <rFont val="Tahoma"/>
            <family val="2"/>
          </rPr>
          <t>Informar o valor unitário mensal para manutenção dos equipamentos de monitoramento</t>
        </r>
      </text>
    </comment>
    <comment ref="C314" authorId="1" shapeId="0" xr:uid="{8EB30959-0A2D-4DEA-8E67-2A4D1A27C57E}">
      <text>
        <r>
          <rPr>
            <b/>
            <sz val="9"/>
            <color indexed="81"/>
            <rFont val="Segoe UI"/>
            <charset val="1"/>
          </rPr>
          <t xml:space="preserve">Inserir a quantidade estimada de resíduos não recicláveis mensais encaminhados para o aterro sanitário.
</t>
        </r>
      </text>
    </comment>
    <comment ref="D314" authorId="0" shapeId="0" xr:uid="{CFA3B10F-1ED2-4074-821A-3B1CB3DBCCCA}">
      <text>
        <r>
          <rPr>
            <sz val="9"/>
            <color indexed="81"/>
            <rFont val="Tahoma"/>
            <family val="2"/>
          </rPr>
          <t>Informar o valor pago por tonelada para a destinação final dos resíduos não recicláveis.</t>
        </r>
      </text>
    </comment>
    <comment ref="C315" authorId="1" shapeId="0" xr:uid="{B6561946-3EE2-4AA0-944E-4A84717B05F7}">
      <text>
        <r>
          <rPr>
            <b/>
            <sz val="9"/>
            <color indexed="81"/>
            <rFont val="Segoe UI"/>
            <family val="2"/>
          </rPr>
          <t xml:space="preserve">Inserir a quantidade estimada de resíduos não recicláveis mensais encaminhados para o aterro sanitário.
</t>
        </r>
      </text>
    </comment>
    <comment ref="D315" authorId="1" shapeId="0" xr:uid="{48BF972C-09BC-444F-A7DF-F135BF553B58}">
      <text>
        <r>
          <rPr>
            <b/>
            <sz val="9"/>
            <color indexed="81"/>
            <rFont val="Segoe UI"/>
            <family val="2"/>
          </rPr>
          <t>Informar o valor pago por tonelada para a destinação final dos resíduos não recicláveis.</t>
        </r>
      </text>
    </comment>
    <comment ref="C323" authorId="0" shapeId="0" xr:uid="{00000000-0006-0000-0000-000073000000}">
      <text>
        <r>
          <rPr>
            <sz val="9"/>
            <color indexed="81"/>
            <rFont val="Tahoma"/>
            <family val="2"/>
          </rPr>
          <t>Preencher a aba 4.BDI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C1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Informar o % de Administração Central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Informar o % de Seguros, Riscos e Garantia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Informar o % de Lucro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5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Informar o valor anual da taxa financeira, em percentual. Admite-se utilizar a SELIC</t>
        </r>
      </text>
    </comment>
    <comment ref="C1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Informar o percentual de ISS, de acordo com a legislação tributária do município onde serão prestados os serviços. De 2% até o limite de 5%.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6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Informar a média de dias úteis entre data de pagamento prevista no contrato e a data final do período de adimplemento da parcela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 xml:space="preserve">Informar o valor estimado de PIS/COFINS. </t>
        </r>
        <r>
          <rPr>
            <sz val="9"/>
            <color indexed="81"/>
            <rFont val="Tahoma"/>
            <family val="2"/>
          </rPr>
          <t xml:space="preserve">
1. Adotar 0,65% PIS + 3% COFINS quando o valor anual estimado do contrato for inferior ao limite para tributação pelo regime de incidência não-cumulativa (lucro presumido);
2. Adotar 1,65% PIS + 7,6% COFINS quando o valor anual estimado do contrato for superior ao limite para tributação pelo regime de incidência não-cumulativa (lucro real);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cbridi</author>
    <author>Clauber Bridi</author>
    <author>Omar</author>
  </authors>
  <commentList>
    <comment ref="C12" authorId="0" shapeId="0" xr:uid="{00000000-0006-0000-0600-000001000000}">
      <text>
        <r>
          <rPr>
            <sz val="8"/>
            <color indexed="81"/>
            <rFont val="Tahoma"/>
            <family val="2"/>
          </rPr>
          <t>Informar a população do município a ser atendida</t>
        </r>
      </text>
    </comment>
    <comment ref="C13" authorId="1" shapeId="0" xr:uid="{00000000-0006-0000-0600-000002000000}">
      <text>
        <r>
          <rPr>
            <b/>
            <sz val="9"/>
            <color indexed="81"/>
            <rFont val="Tahoma"/>
            <family val="2"/>
          </rPr>
          <t>Caso o município possua informações de pesagem, ajustar com o valor da geração média per capita realizada nos últimos 12 meses</t>
        </r>
      </text>
    </comment>
    <comment ref="C14" authorId="2" shapeId="0" xr:uid="{00000000-0006-0000-0600-000003000000}">
      <text>
        <r>
          <rPr>
            <sz val="9"/>
            <color indexed="81"/>
            <rFont val="Tahoma"/>
            <family val="2"/>
          </rPr>
          <t>retorna a geração diária a ser recolhida</t>
        </r>
      </text>
    </comment>
    <comment ref="C16" authorId="0" shapeId="0" xr:uid="{00000000-0006-0000-0600-000004000000}">
      <text>
        <r>
          <rPr>
            <b/>
            <sz val="8"/>
            <color indexed="81"/>
            <rFont val="Tahoma"/>
            <charset val="1"/>
          </rPr>
          <t>Informe o número de dias de coleta por semana</t>
        </r>
      </text>
    </comment>
    <comment ref="C19" authorId="0" shapeId="0" xr:uid="{00000000-0006-0000-0600-000005000000}">
      <text>
        <r>
          <rPr>
            <sz val="8"/>
            <color indexed="81"/>
            <rFont val="Tahoma"/>
            <family val="2"/>
          </rPr>
          <t>Informar 1 para caminhão toco; Informar 2 para caminhão truck</t>
        </r>
        <r>
          <rPr>
            <b/>
            <sz val="8"/>
            <color indexed="81"/>
            <rFont val="Tahoma"/>
            <family val="2"/>
          </rPr>
          <t xml:space="preserve"> </t>
        </r>
      </text>
    </comment>
    <comment ref="C20" authorId="0" shapeId="0" xr:uid="{00000000-0006-0000-0600-000006000000}">
      <text>
        <r>
          <rPr>
            <sz val="8"/>
            <color indexed="81"/>
            <rFont val="Tahoma"/>
            <family val="2"/>
          </rPr>
          <t>Informar a capacidade do compactador em m³</t>
        </r>
      </text>
    </comment>
    <comment ref="C23" authorId="1" shapeId="0" xr:uid="{00000000-0006-0000-0600-000007000000}">
      <text>
        <r>
          <rPr>
            <sz val="8"/>
            <color indexed="81"/>
            <rFont val="Tahoma"/>
            <family val="2"/>
          </rPr>
          <t xml:space="preserve">Informar o número de percursos de coleta (cargas) que cada caminhão realiza por dia, considerando todos os turnos de trabalho. </t>
        </r>
      </text>
    </comment>
  </commentList>
</comments>
</file>

<file path=xl/sharedStrings.xml><?xml version="1.0" encoding="utf-8"?>
<sst xmlns="http://schemas.openxmlformats.org/spreadsheetml/2006/main" count="617" uniqueCount="316">
  <si>
    <t>hora</t>
  </si>
  <si>
    <t>Adicional de Insalubridade</t>
  </si>
  <si>
    <t>%</t>
  </si>
  <si>
    <t>Soma</t>
  </si>
  <si>
    <t>Encargos Sociais</t>
  </si>
  <si>
    <t>Total do Efetivo</t>
  </si>
  <si>
    <t>homem</t>
  </si>
  <si>
    <t>Adicional Noturno</t>
  </si>
  <si>
    <t>mês</t>
  </si>
  <si>
    <t>vale</t>
  </si>
  <si>
    <t>unidade</t>
  </si>
  <si>
    <t>Colete reflexivo</t>
  </si>
  <si>
    <t>IPVA</t>
  </si>
  <si>
    <t>Seguro contra terceiros</t>
  </si>
  <si>
    <t>Impostos e seguros mensais</t>
  </si>
  <si>
    <t>km/l</t>
  </si>
  <si>
    <t>km</t>
  </si>
  <si>
    <t>l/1.000 km</t>
  </si>
  <si>
    <t>Custo mensal com óleo do motor</t>
  </si>
  <si>
    <t>Custo mensal com óleo da transmissão</t>
  </si>
  <si>
    <t>Custo mensal com óleo hidráulico</t>
  </si>
  <si>
    <t>Custo de graxa /1.000 km rodados</t>
  </si>
  <si>
    <t>kg/1.000 km</t>
  </si>
  <si>
    <t>Custo mensal com graxa</t>
  </si>
  <si>
    <t>km/jogo</t>
  </si>
  <si>
    <t>Pá de Concha</t>
  </si>
  <si>
    <t>Vassoura</t>
  </si>
  <si>
    <t>Calça</t>
  </si>
  <si>
    <t>Camiseta</t>
  </si>
  <si>
    <t>Boné</t>
  </si>
  <si>
    <t>Luva de proteção</t>
  </si>
  <si>
    <t>R$</t>
  </si>
  <si>
    <t>Horas Extras (100%)</t>
  </si>
  <si>
    <t>Horas Extras (50%)</t>
  </si>
  <si>
    <t>Benefícios e despesas indiretas</t>
  </si>
  <si>
    <t>Custo mensal com manutenção</t>
  </si>
  <si>
    <t>Custo (R$/mês)</t>
  </si>
  <si>
    <t>Mão-de-obra</t>
  </si>
  <si>
    <t>Quantidade</t>
  </si>
  <si>
    <t>INSS</t>
  </si>
  <si>
    <t>FGTS</t>
  </si>
  <si>
    <t>Planilha de Composição de Custos</t>
  </si>
  <si>
    <t>Motorista</t>
  </si>
  <si>
    <t>2. Uniformes e Equipamentos de Proteção Individual</t>
  </si>
  <si>
    <t>3.1.1. Depreciação</t>
  </si>
  <si>
    <t>1. Mão-de-obra</t>
  </si>
  <si>
    <t>par</t>
  </si>
  <si>
    <t>frasco 120g</t>
  </si>
  <si>
    <t>Depreciação mensal veículos coletores</t>
  </si>
  <si>
    <t>3.1.3. Impostos e Seguros</t>
  </si>
  <si>
    <t>3.1.4. Consumos</t>
  </si>
  <si>
    <t>3.1.5. Manutenção</t>
  </si>
  <si>
    <t>3. Veículos e Equipamentos</t>
  </si>
  <si>
    <t>Custo mensal com pneus</t>
  </si>
  <si>
    <t>Veículos e Equipamentos</t>
  </si>
  <si>
    <t>Publicidade (adesivos equipamentos)</t>
  </si>
  <si>
    <t>cj</t>
  </si>
  <si>
    <t>Total de mão-de-obra (postos de trabalho)</t>
  </si>
  <si>
    <t>Publicidade (adesivos veículos)</t>
  </si>
  <si>
    <t>Custo mensal com implantação</t>
  </si>
  <si>
    <t>3.1.6. Pneus</t>
  </si>
  <si>
    <t>Protetor solar FPS 30</t>
  </si>
  <si>
    <t>Discriminação</t>
  </si>
  <si>
    <t>Unidade</t>
  </si>
  <si>
    <t>Subtotal</t>
  </si>
  <si>
    <r>
      <t xml:space="preserve">Total </t>
    </r>
    <r>
      <rPr>
        <b/>
        <u/>
        <sz val="9"/>
        <rFont val="Arial"/>
        <family val="2"/>
      </rPr>
      <t>(R$)</t>
    </r>
  </si>
  <si>
    <t>Jaqueta com reflexivo (NBR 15.292)</t>
  </si>
  <si>
    <t>Capa de chuva amarela com reflexivo</t>
  </si>
  <si>
    <t>Botina de segurança c/ palmilha aço</t>
  </si>
  <si>
    <t>Custo de recapagem</t>
  </si>
  <si>
    <t>Recipiente térmico para água (5L)</t>
  </si>
  <si>
    <t>Total por Coletor</t>
  </si>
  <si>
    <t>Coletor</t>
  </si>
  <si>
    <t>4. Ferramentas e Materiais de Consumo</t>
  </si>
  <si>
    <t>5. Monitoramento da Frota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</si>
  <si>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</si>
  <si>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</si>
  <si>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</si>
  <si>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</si>
  <si>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</si>
  <si>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</si>
  <si>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</si>
  <si>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</si>
  <si>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Tributos - ISS</t>
  </si>
  <si>
    <t>T</t>
  </si>
  <si>
    <t>Tributos - PIS/COFINS</t>
  </si>
  <si>
    <t>Fórmula para o cálculo do BDI:</t>
  </si>
  <si>
    <t>{[(1+AC+SRG) x (1+L) x (1+DF)] / (1-T)} -1</t>
  </si>
  <si>
    <t>Resultado do cálculo do BDI:</t>
  </si>
  <si>
    <t>1.2. Coletor Turno Noite</t>
  </si>
  <si>
    <t>Vale Transporte</t>
  </si>
  <si>
    <t>Dias Trabalhados por mês</t>
  </si>
  <si>
    <t>dia</t>
  </si>
  <si>
    <t>Custo Mensal com Mão-de-obra (R$/mês)</t>
  </si>
  <si>
    <t>Meia de algodão com cano alto</t>
  </si>
  <si>
    <t>Quantitativos</t>
  </si>
  <si>
    <t>horas trabalhadas</t>
  </si>
  <si>
    <t>Horas Extras Noturnas (100%)</t>
  </si>
  <si>
    <t>1.1. Coletor Turno Dia</t>
  </si>
  <si>
    <t>1.3. Motorista Turno do Dia</t>
  </si>
  <si>
    <t>1.4. Motorista Turno Noite</t>
  </si>
  <si>
    <t>hora contabilizada</t>
  </si>
  <si>
    <t>1.5. Vale Transporte</t>
  </si>
  <si>
    <t>Vida útil do chassis</t>
  </si>
  <si>
    <t>anos</t>
  </si>
  <si>
    <t>Vida útil do compactador</t>
  </si>
  <si>
    <t>Depreciação do compactador</t>
  </si>
  <si>
    <t>Depreciação do chassis</t>
  </si>
  <si>
    <t>Custo de aquisição do compactador</t>
  </si>
  <si>
    <t>Custo de aquisição do chassis</t>
  </si>
  <si>
    <t>Depreciação mensal do compactador</t>
  </si>
  <si>
    <t>n = vida útil do bem em anos</t>
  </si>
  <si>
    <t>Custo do chassis</t>
  </si>
  <si>
    <t>Custo do compactador</t>
  </si>
  <si>
    <t>3.1.2. Remuneração do Capital</t>
  </si>
  <si>
    <t>Im = investimento médio</t>
  </si>
  <si>
    <t>Remuneração mensal de capital do compactador</t>
  </si>
  <si>
    <t>Investimento médio total do chassis</t>
  </si>
  <si>
    <t>Remuneração mensal de capital do chassis</t>
  </si>
  <si>
    <t>Investimento médio total do compactador</t>
  </si>
  <si>
    <t>Custo de manutenção dos caminhões</t>
  </si>
  <si>
    <t>R$/km rodado</t>
  </si>
  <si>
    <t>Número de recapagens por pneu</t>
  </si>
  <si>
    <t>1.6. Vale-refeição (diário)</t>
  </si>
  <si>
    <t>1.7. Auxílio Alimentação (mensal)</t>
  </si>
  <si>
    <t>R$ mensal</t>
  </si>
  <si>
    <t>Admissões</t>
  </si>
  <si>
    <t>Desligamentos</t>
  </si>
  <si>
    <t>Dispensados com justa causa</t>
  </si>
  <si>
    <t>Dispensados sem justa causa</t>
  </si>
  <si>
    <t>Espontâneos</t>
  </si>
  <si>
    <t>Fim de contrato por prazo determinado</t>
  </si>
  <si>
    <t>Término de contrato</t>
  </si>
  <si>
    <t>Aposentados</t>
  </si>
  <si>
    <t>Mortos</t>
  </si>
  <si>
    <t>Transferência de saída</t>
  </si>
  <si>
    <t xml:space="preserve"> </t>
  </si>
  <si>
    <t>Indicadores</t>
  </si>
  <si>
    <t>Dias ano</t>
  </si>
  <si>
    <t>Estoque Médio</t>
  </si>
  <si>
    <t>Multa FGTS</t>
  </si>
  <si>
    <t>Dias de Aviso prévio</t>
  </si>
  <si>
    <t>Código</t>
  </si>
  <si>
    <t>Descrição</t>
  </si>
  <si>
    <t>Valor</t>
  </si>
  <si>
    <t>A1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</si>
  <si>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</si>
  <si>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</si>
  <si>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</si>
  <si>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</si>
  <si>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</si>
  <si>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</si>
  <si>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</si>
  <si>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</si>
  <si>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</si>
  <si>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</si>
  <si>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</si>
  <si>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</si>
  <si>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</si>
  <si>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A</t>
  </si>
  <si>
    <t>SOMA GRUPO A</t>
  </si>
  <si>
    <t>B1</t>
  </si>
  <si>
    <t>Férias gozadas</t>
  </si>
  <si>
    <t>B2</t>
  </si>
  <si>
    <t>13º salário</t>
  </si>
  <si>
    <t>B4</t>
  </si>
  <si>
    <t>Licença Paternidade</t>
  </si>
  <si>
    <t>B5</t>
  </si>
  <si>
    <t>Faltas justificadas</t>
  </si>
  <si>
    <t>B6</t>
  </si>
  <si>
    <t>Auxilio acidente de trabalho</t>
  </si>
  <si>
    <t>Auxilio doença</t>
  </si>
  <si>
    <t>B</t>
  </si>
  <si>
    <t>SOMA GRUPO B</t>
  </si>
  <si>
    <t>C1</t>
  </si>
  <si>
    <t>Aviso prévio indenizado</t>
  </si>
  <si>
    <t>C3</t>
  </si>
  <si>
    <t xml:space="preserve">Férias indenizadas </t>
  </si>
  <si>
    <t>C4</t>
  </si>
  <si>
    <t>Férias indenizadas s/ aviso previo inden.</t>
  </si>
  <si>
    <t>C5</t>
  </si>
  <si>
    <t>Depósito rescisão sem justa causa</t>
  </si>
  <si>
    <t>Indenização adicional</t>
  </si>
  <si>
    <t>C</t>
  </si>
  <si>
    <t>SOMA GRUPO C</t>
  </si>
  <si>
    <t>D1</t>
  </si>
  <si>
    <t>Reincidência de Grupo A sobre Grupo B</t>
  </si>
  <si>
    <t>D2</t>
  </si>
  <si>
    <t>D</t>
  </si>
  <si>
    <t>SOMA GRUPO D</t>
  </si>
  <si>
    <t>SOMA (A+B+C+D)</t>
  </si>
  <si>
    <t>1° Quartil</t>
  </si>
  <si>
    <t>Médio</t>
  </si>
  <si>
    <t>3° Quartil</t>
  </si>
  <si>
    <t>DU</t>
  </si>
  <si>
    <t>Licenciamento e Seguro obrigatório</t>
  </si>
  <si>
    <t>Fator de utilização</t>
  </si>
  <si>
    <t>Fator de utilização (FU)</t>
  </si>
  <si>
    <t>2.1. Uniformes e EPIs para Coletor</t>
  </si>
  <si>
    <t>Higienização de uniformes e EPIs</t>
  </si>
  <si>
    <t>2.2. Uniformes e EPIs para demais categorias</t>
  </si>
  <si>
    <t>Custo Mensal com Uniformes e EPIs (R$/mês)</t>
  </si>
  <si>
    <t>Descrição do Item</t>
  </si>
  <si>
    <t>Orçamento Sintético</t>
  </si>
  <si>
    <t>Rio Grande do Sul  - Coleta de Resíduos Não-Perigosos - CNAE 38114</t>
  </si>
  <si>
    <t>Idade do veículo (ano)</t>
  </si>
  <si>
    <t>Idade do veículo</t>
  </si>
  <si>
    <t>Idade do compactador</t>
  </si>
  <si>
    <t>Valor do veículo proposto (V0)</t>
  </si>
  <si>
    <t>Valor do compactador proposto (V0)</t>
  </si>
  <si>
    <t>Taxa de juros anual nominal</t>
  </si>
  <si>
    <t>Piso da categoria</t>
  </si>
  <si>
    <t>Base de cálculo da Insalubridade</t>
  </si>
  <si>
    <t>Horas Extras Noturnas (50%)</t>
  </si>
  <si>
    <t>Descanso Semanal Remunerado (DSR) - hora extra</t>
  </si>
  <si>
    <t>C2</t>
  </si>
  <si>
    <t>B3</t>
  </si>
  <si>
    <t>Custo Mensal com Monitoramento da Frota (R$/mês)</t>
  </si>
  <si>
    <t>Implantação dos equipamentos de monitoramento</t>
  </si>
  <si>
    <t>Manutenção dos equipamentos de monitoramento</t>
  </si>
  <si>
    <t>Custo Mensal com Veículos e Equipamentos (R$/mês)</t>
  </si>
  <si>
    <t>Custo Mensal com Ferramentas e Materiais de Consumo (R$/mês)</t>
  </si>
  <si>
    <t>CUSTO TOTAL MENSAL COM DESPESAS OPERACIONAIS (R$/mês)</t>
  </si>
  <si>
    <t>PREÇO MENSAL TOTAL (R$/mês)</t>
  </si>
  <si>
    <t>3. CAGED</t>
  </si>
  <si>
    <t>4. Composição do BDI - Benefícios e Despesas Indiretas</t>
  </si>
  <si>
    <t xml:space="preserve">2. Composição dos Encargos Sociais </t>
  </si>
  <si>
    <r>
      <t>J</t>
    </r>
    <r>
      <rPr>
        <vertAlign val="subscript"/>
        <sz val="12"/>
        <color indexed="8"/>
        <rFont val="Arial"/>
        <family val="2"/>
      </rPr>
      <t>m</t>
    </r>
    <r>
      <rPr>
        <sz val="12"/>
        <color indexed="8"/>
        <rFont val="Arial"/>
        <family val="2"/>
      </rPr>
      <t xml:space="preserve"> = remuneração de capital mensal</t>
    </r>
  </si>
  <si>
    <r>
      <t>V</t>
    </r>
    <r>
      <rPr>
        <vertAlign val="subscript"/>
        <sz val="12"/>
        <color indexed="8"/>
        <rFont val="Arial"/>
        <family val="2"/>
      </rPr>
      <t>0</t>
    </r>
    <r>
      <rPr>
        <sz val="12"/>
        <color indexed="8"/>
        <rFont val="Arial"/>
        <family val="2"/>
      </rPr>
      <t xml:space="preserve"> = valor inicial do bem</t>
    </r>
  </si>
  <si>
    <r>
      <t>V</t>
    </r>
    <r>
      <rPr>
        <vertAlign val="subscript"/>
        <sz val="12"/>
        <color indexed="8"/>
        <rFont val="Arial"/>
        <family val="2"/>
      </rPr>
      <t>r</t>
    </r>
    <r>
      <rPr>
        <sz val="12"/>
        <color indexed="8"/>
        <rFont val="Arial"/>
        <family val="2"/>
      </rPr>
      <t xml:space="preserve"> = valor residual do bem</t>
    </r>
  </si>
  <si>
    <t>6. Remuneração de Capital</t>
  </si>
  <si>
    <t>Custo unitário</t>
  </si>
  <si>
    <t>Custo de óleo do motor /1.000 km rodados</t>
  </si>
  <si>
    <t>Custo de óleo da transmissão /1.000 km</t>
  </si>
  <si>
    <t>Custo de óleo hidráulico / 1.000 km</t>
  </si>
  <si>
    <t>CUSTO MENSAL COM BDI (R$/mês)</t>
  </si>
  <si>
    <t>1/3 de férias (dias)</t>
  </si>
  <si>
    <t>Férias (dias)</t>
  </si>
  <si>
    <t>13º Salário (dias)</t>
  </si>
  <si>
    <t>Referência estudo TCE</t>
  </si>
  <si>
    <t>Rotatividade temporal (meses)</t>
  </si>
  <si>
    <t>Fórmula de cálculo da remuneração de capital:</t>
  </si>
  <si>
    <t>Total por Motorista</t>
  </si>
  <si>
    <t>Durabilidade (meses)</t>
  </si>
  <si>
    <t>Custo com consumos/km rodado</t>
  </si>
  <si>
    <t>Consumo</t>
  </si>
  <si>
    <t>Total por veículo</t>
  </si>
  <si>
    <t>Total da frota</t>
  </si>
  <si>
    <t>Unid</t>
  </si>
  <si>
    <t>hab</t>
  </si>
  <si>
    <t>ton</t>
  </si>
  <si>
    <t>Densidade RSU compactado</t>
  </si>
  <si>
    <t>Kg/m³</t>
  </si>
  <si>
    <t>m³</t>
  </si>
  <si>
    <t>Kg/hab.dia</t>
  </si>
  <si>
    <t>ton/dia</t>
  </si>
  <si>
    <t>População (H)</t>
  </si>
  <si>
    <t>Geração per capita (G)</t>
  </si>
  <si>
    <t>Geração total diária (Qd)</t>
  </si>
  <si>
    <t>Quantitativo diário de coleta (Qc)</t>
  </si>
  <si>
    <t>Número de dias de coleta por semana (Dc)</t>
  </si>
  <si>
    <t>Capacidade nominal de carga (Cc)</t>
  </si>
  <si>
    <t>Número de Cargas por dia (Nc)</t>
  </si>
  <si>
    <t>Número de veículos da Frota (F)</t>
  </si>
  <si>
    <t>Geração Mensal</t>
  </si>
  <si>
    <t>Tipo de Veículo (1 = toco, 2 = truck)</t>
  </si>
  <si>
    <t>Capacidade do Compactador</t>
  </si>
  <si>
    <t>7. Dimensionamento da frota</t>
  </si>
  <si>
    <t>Indicador</t>
  </si>
  <si>
    <t>Número total de percursos de coleta por veículo, por dia (Np)</t>
  </si>
  <si>
    <t>i</t>
  </si>
  <si>
    <t>Depreciação Média</t>
  </si>
  <si>
    <t>Reincidência de FGTS sobre aviso prévio indenizado</t>
  </si>
  <si>
    <t>Piso da categoria (2)</t>
  </si>
  <si>
    <t>Salário mínimo nacional (1)</t>
  </si>
  <si>
    <t>% Demitidos s/ Justa Causa em relação ao Estoque Médio</t>
  </si>
  <si>
    <t>Taxa de Rotatividade</t>
  </si>
  <si>
    <t>Acordo</t>
  </si>
  <si>
    <t>Estoque recuperado início do Período 01-03-2018</t>
  </si>
  <si>
    <t>Estoque recuperado final do Período 28-02-2019</t>
  </si>
  <si>
    <t>Variação Emprego Absoluta de 01-03-2018 a 28-02-2019</t>
  </si>
  <si>
    <t>Km mensais - coleta e transporte até o destino final</t>
  </si>
  <si>
    <t>Custo do jogo de pneus 275/80R22,5</t>
  </si>
  <si>
    <t>LOTE 1. Coleta de Resíduos Sólidos, transporte e destinação final - Perímetro Urbano</t>
  </si>
  <si>
    <t>LOTE 01</t>
  </si>
  <si>
    <t>5. Depreciação Referencial TCE/RS (%) LOTE 01</t>
  </si>
  <si>
    <t>Preencher somente células em amarelo</t>
  </si>
  <si>
    <t>i = taxa de juros do mercado (Adotada a taxa SELIC)</t>
  </si>
  <si>
    <r>
      <t>Custo jg. compl. +</t>
    </r>
    <r>
      <rPr>
        <sz val="10"/>
        <rFont val="Arial"/>
        <family val="2"/>
      </rPr>
      <t xml:space="preserve"> 3 recap./ km rodado</t>
    </r>
  </si>
  <si>
    <t>3.2. Custo Container - item 07 do Projeto Básico</t>
  </si>
  <si>
    <t>Container para receber lixo de no mínimo 20m³</t>
  </si>
  <si>
    <t>Prazo de vigência do contrato</t>
  </si>
  <si>
    <t>meses</t>
  </si>
  <si>
    <t xml:space="preserve">Depreciação </t>
  </si>
  <si>
    <t>Depreciação mensal</t>
  </si>
  <si>
    <t xml:space="preserve">Total </t>
  </si>
  <si>
    <t>3.1. Veículo Coletor Compactador 8 m³ (mínimo)</t>
  </si>
  <si>
    <t>7. Benefícios e Despesas Indiretas - BDI</t>
  </si>
  <si>
    <t>6. Destinação final</t>
  </si>
  <si>
    <t>Quantidade mensal</t>
  </si>
  <si>
    <t>Toneladas</t>
  </si>
  <si>
    <t>Quantidade média de resíduos não recicláveis - container - item 07 do projeto básico</t>
  </si>
  <si>
    <t>Custo Mensal com destinação final (R$/mês)</t>
  </si>
  <si>
    <t>Quantidade média de resíduos não recicláveis.</t>
  </si>
  <si>
    <t xml:space="preserve">PREÇO TOTAL MENSAL </t>
  </si>
  <si>
    <t>Custo mensal com óleo diesel - coleta no perímetro urbano - 156 km diários</t>
  </si>
  <si>
    <t>Custo de óleo diesel / km rodado (coleta no perímetro urbano - 156 km diários)</t>
  </si>
  <si>
    <r>
      <t xml:space="preserve">Custo de óleo diesel / km rodado </t>
    </r>
    <r>
      <rPr>
        <sz val="10"/>
        <color rgb="FFFF0000"/>
        <rFont val="Arial"/>
        <family val="2"/>
      </rPr>
      <t>(140km diários como estimativa de gasto até o destino final)</t>
    </r>
  </si>
  <si>
    <r>
      <t>Custo mensal com óleo diesel</t>
    </r>
    <r>
      <rPr>
        <sz val="10"/>
        <color rgb="FFFF0000"/>
        <rFont val="Arial"/>
        <family val="2"/>
      </rPr>
      <t xml:space="preserve"> (140km diários como estimativa de gasto até o destino final)</t>
    </r>
  </si>
  <si>
    <r>
      <t xml:space="preserve">Custo de óleo diesel / km rodado  </t>
    </r>
    <r>
      <rPr>
        <sz val="10"/>
        <color rgb="FFFF0000"/>
        <rFont val="Arial"/>
        <family val="2"/>
      </rPr>
      <t>(Estimativa de gasto até o destino final dos resíduos do container - item 07 do projeto básico)</t>
    </r>
  </si>
  <si>
    <r>
      <t xml:space="preserve">Custo mensal com óleo diesel </t>
    </r>
    <r>
      <rPr>
        <sz val="10"/>
        <color rgb="FFFF0000"/>
        <rFont val="Arial"/>
        <family val="2"/>
      </rPr>
      <t>(Estimativa de gasto até o destino final dos resíduos do container - item 07 do projeto básico)</t>
    </r>
  </si>
  <si>
    <t>3.2.1. Depreciação do container</t>
  </si>
  <si>
    <t>3.2.2. Remuneração do capital - container</t>
  </si>
  <si>
    <t>Total</t>
  </si>
  <si>
    <t>Custo do container</t>
  </si>
  <si>
    <t>Vida útil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</si>
</sst>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_-;\-* #,##0.00_-;_-* &quot;-&quot;??_-;_-@_-"/>
    <numFmt numFmtId="165" formatCode="&quot;R$ &quot;#,##0.00_);\(&quot;R$ &quot;#,##0.00\)"/>
    <numFmt numFmtId="166" formatCode="_(* #,##0.00_);_(* \(#,##0.00\);_(* &quot;-&quot;??_);_(@_)"/>
    <numFmt numFmtId="167" formatCode="_(* #,##0_);_(* \(#,##0\);_(* &quot;-&quot;??_);_(@_)"/>
    <numFmt numFmtId="168" formatCode="_(* #,##0.000_);_(* \(#,##0.000\);_(* &quot;-&quot;??_);_(@_)"/>
    <numFmt numFmtId="169" formatCode="&quot;R$ &quot;#,##0.00"/>
    <numFmt numFmtId="170" formatCode="0.0000"/>
    <numFmt numFmtId="171" formatCode="_-* #,##0.000_-;\-* #,##0.000_-;_-* &quot;-&quot;??_-;_-@_-"/>
    <numFmt numFmtId="172" formatCode="_-* #,##0.00_-;\-* #,##0.00_-;_-* &quot;-&quot;?_-;_-@_-"/>
    <numFmt numFmtId="173" formatCode="_-* #,##0_-;\-* #,##0_-;_-* &quot;-&quot;?_-;_-@_-"/>
  </numFmts>
  <fonts count="3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vertAlign val="subscript"/>
      <sz val="12"/>
      <color indexed="8"/>
      <name val="Arial"/>
      <family val="2"/>
    </font>
    <font>
      <sz val="12"/>
      <color indexed="8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3"/>
      <color theme="1"/>
      <name val="Arial"/>
      <family val="2"/>
    </font>
    <font>
      <sz val="10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indexed="81"/>
      <name val="Tahoma"/>
      <charset val="1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9"/>
      <color indexed="81"/>
      <name val="Segoe UI"/>
      <charset val="1"/>
    </font>
    <font>
      <b/>
      <sz val="9"/>
      <color indexed="81"/>
      <name val="Segoe UI"/>
      <family val="2"/>
    </font>
    <font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79">
    <xf numFmtId="0" fontId="0" fillId="0" borderId="0" xfId="0"/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166" fontId="0" fillId="0" borderId="0" xfId="3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6" fontId="6" fillId="0" borderId="0" xfId="3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66" fontId="6" fillId="0" borderId="2" xfId="3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66" fontId="6" fillId="0" borderId="1" xfId="3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6" fontId="6" fillId="0" borderId="0" xfId="3" applyFont="1" applyAlignment="1">
      <alignment horizontal="center" vertical="center"/>
    </xf>
    <xf numFmtId="166" fontId="3" fillId="2" borderId="4" xfId="3" applyFont="1" applyFill="1" applyBorder="1" applyAlignment="1">
      <alignment horizontal="center" vertical="center"/>
    </xf>
    <xf numFmtId="166" fontId="3" fillId="2" borderId="4" xfId="3" applyFont="1" applyFill="1" applyBorder="1" applyAlignment="1">
      <alignment vertical="center"/>
    </xf>
    <xf numFmtId="166" fontId="3" fillId="0" borderId="0" xfId="3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66" fontId="3" fillId="0" borderId="6" xfId="3" applyFont="1" applyBorder="1" applyAlignment="1">
      <alignment vertical="center"/>
    </xf>
    <xf numFmtId="166" fontId="3" fillId="0" borderId="7" xfId="3" applyFont="1" applyBorder="1" applyAlignment="1">
      <alignment vertical="center"/>
    </xf>
    <xf numFmtId="0" fontId="6" fillId="0" borderId="6" xfId="0" applyFont="1" applyBorder="1" applyAlignment="1">
      <alignment vertical="center"/>
    </xf>
    <xf numFmtId="166" fontId="6" fillId="0" borderId="6" xfId="3" applyFont="1" applyBorder="1" applyAlignment="1">
      <alignment vertical="center"/>
    </xf>
    <xf numFmtId="166" fontId="6" fillId="0" borderId="7" xfId="3" applyFont="1" applyBorder="1" applyAlignment="1">
      <alignment vertical="center"/>
    </xf>
    <xf numFmtId="166" fontId="3" fillId="0" borderId="0" xfId="3" applyFont="1" applyBorder="1" applyAlignment="1">
      <alignment horizontal="center" vertical="center"/>
    </xf>
    <xf numFmtId="3" fontId="6" fillId="0" borderId="0" xfId="0" applyNumberFormat="1" applyFont="1" applyAlignment="1">
      <alignment vertical="center"/>
    </xf>
    <xf numFmtId="166" fontId="3" fillId="0" borderId="0" xfId="3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66" fontId="3" fillId="0" borderId="0" xfId="3" applyFont="1" applyBorder="1" applyAlignment="1">
      <alignment vertical="center"/>
    </xf>
    <xf numFmtId="166" fontId="5" fillId="0" borderId="0" xfId="3" applyFont="1" applyAlignment="1">
      <alignment vertical="center"/>
    </xf>
    <xf numFmtId="167" fontId="6" fillId="0" borderId="1" xfId="3" applyNumberFormat="1" applyFont="1" applyBorder="1" applyAlignment="1">
      <alignment vertical="center"/>
    </xf>
    <xf numFmtId="166" fontId="6" fillId="0" borderId="0" xfId="3" applyFont="1"/>
    <xf numFmtId="166" fontId="4" fillId="0" borderId="0" xfId="3" applyFont="1" applyAlignment="1">
      <alignment vertical="center"/>
    </xf>
    <xf numFmtId="166" fontId="0" fillId="0" borderId="9" xfId="3" applyFont="1" applyBorder="1" applyAlignment="1">
      <alignment vertical="center"/>
    </xf>
    <xf numFmtId="166" fontId="3" fillId="0" borderId="10" xfId="3" applyFont="1" applyBorder="1" applyAlignment="1">
      <alignment horizontal="center" vertical="center"/>
    </xf>
    <xf numFmtId="166" fontId="3" fillId="0" borderId="5" xfId="3" applyFont="1" applyBorder="1" applyAlignment="1">
      <alignment horizontal="left" vertical="center"/>
    </xf>
    <xf numFmtId="4" fontId="3" fillId="0" borderId="6" xfId="0" applyNumberFormat="1" applyFont="1" applyBorder="1" applyAlignment="1">
      <alignment horizontal="centerContinuous" vertical="center"/>
    </xf>
    <xf numFmtId="166" fontId="3" fillId="0" borderId="0" xfId="3" applyFont="1" applyAlignment="1">
      <alignment vertical="center"/>
    </xf>
    <xf numFmtId="166" fontId="0" fillId="0" borderId="8" xfId="0" applyNumberFormat="1" applyBorder="1" applyAlignment="1">
      <alignment vertical="center"/>
    </xf>
    <xf numFmtId="4" fontId="0" fillId="0" borderId="8" xfId="0" applyNumberFormat="1" applyBorder="1" applyAlignment="1">
      <alignment horizontal="centerContinuous" vertical="center"/>
    </xf>
    <xf numFmtId="166" fontId="0" fillId="0" borderId="8" xfId="3" applyFont="1" applyBorder="1" applyAlignment="1">
      <alignment vertical="center"/>
    </xf>
    <xf numFmtId="166" fontId="3" fillId="0" borderId="11" xfId="3" applyFont="1" applyBorder="1" applyAlignment="1">
      <alignment horizontal="right" vertical="center"/>
    </xf>
    <xf numFmtId="166" fontId="0" fillId="0" borderId="12" xfId="3" applyFont="1" applyBorder="1" applyAlignment="1">
      <alignment vertical="center"/>
    </xf>
    <xf numFmtId="166" fontId="6" fillId="0" borderId="1" xfId="3" applyFont="1" applyBorder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66" fontId="6" fillId="0" borderId="0" xfId="3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6" fontId="4" fillId="0" borderId="0" xfId="3" applyFont="1" applyBorder="1" applyAlignment="1">
      <alignment vertical="center"/>
    </xf>
    <xf numFmtId="10" fontId="0" fillId="0" borderId="13" xfId="2" applyNumberFormat="1" applyFont="1" applyBorder="1" applyAlignment="1">
      <alignment vertical="center"/>
    </xf>
    <xf numFmtId="166" fontId="6" fillId="0" borderId="0" xfId="3" applyFont="1" applyBorder="1" applyAlignment="1">
      <alignment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166" fontId="13" fillId="2" borderId="15" xfId="3" applyFont="1" applyFill="1" applyBorder="1" applyAlignment="1">
      <alignment horizontal="center" vertical="center"/>
    </xf>
    <xf numFmtId="166" fontId="13" fillId="2" borderId="16" xfId="3" applyFont="1" applyFill="1" applyBorder="1" applyAlignment="1">
      <alignment horizontal="center" vertical="center"/>
    </xf>
    <xf numFmtId="166" fontId="3" fillId="0" borderId="17" xfId="3" applyFont="1" applyBorder="1" applyAlignment="1">
      <alignment horizontal="center" vertical="center"/>
    </xf>
    <xf numFmtId="166" fontId="1" fillId="0" borderId="12" xfId="3" applyFont="1" applyBorder="1" applyAlignment="1">
      <alignment horizontal="left" vertical="center"/>
    </xf>
    <xf numFmtId="166" fontId="6" fillId="0" borderId="8" xfId="3" applyFont="1" applyBorder="1" applyAlignment="1">
      <alignment vertical="center"/>
    </xf>
    <xf numFmtId="166" fontId="6" fillId="0" borderId="12" xfId="3" applyFont="1" applyBorder="1" applyAlignment="1">
      <alignment vertical="center"/>
    </xf>
    <xf numFmtId="167" fontId="6" fillId="0" borderId="0" xfId="3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6" fillId="0" borderId="18" xfId="3" applyNumberFormat="1" applyFont="1" applyBorder="1" applyAlignment="1">
      <alignment horizontal="center" vertical="center"/>
    </xf>
    <xf numFmtId="166" fontId="3" fillId="0" borderId="26" xfId="3" applyFont="1" applyBorder="1" applyAlignment="1">
      <alignment vertical="center"/>
    </xf>
    <xf numFmtId="4" fontId="3" fillId="0" borderId="27" xfId="0" applyNumberFormat="1" applyFont="1" applyBorder="1" applyAlignment="1">
      <alignment vertical="center"/>
    </xf>
    <xf numFmtId="166" fontId="6" fillId="0" borderId="17" xfId="3" applyFont="1" applyBorder="1" applyAlignment="1">
      <alignment vertical="center"/>
    </xf>
    <xf numFmtId="166" fontId="6" fillId="0" borderId="9" xfId="3" applyFont="1" applyBorder="1" applyAlignment="1">
      <alignment vertical="center"/>
    </xf>
    <xf numFmtId="0" fontId="0" fillId="0" borderId="9" xfId="0" applyBorder="1" applyAlignment="1">
      <alignment vertical="center"/>
    </xf>
    <xf numFmtId="1" fontId="6" fillId="0" borderId="10" xfId="3" applyNumberFormat="1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27" xfId="0" applyBorder="1" applyAlignment="1">
      <alignment vertical="center"/>
    </xf>
    <xf numFmtId="1" fontId="3" fillId="0" borderId="29" xfId="3" applyNumberFormat="1" applyFont="1" applyBorder="1" applyAlignment="1">
      <alignment horizontal="center" vertical="center"/>
    </xf>
    <xf numFmtId="166" fontId="12" fillId="0" borderId="1" xfId="3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66" fontId="3" fillId="2" borderId="4" xfId="3" applyNumberFormat="1" applyFont="1" applyFill="1" applyBorder="1" applyAlignment="1">
      <alignment horizontal="center" vertical="center"/>
    </xf>
    <xf numFmtId="166" fontId="6" fillId="0" borderId="1" xfId="3" applyFont="1" applyFill="1" applyBorder="1" applyAlignment="1">
      <alignment horizontal="center" vertical="center"/>
    </xf>
    <xf numFmtId="166" fontId="11" fillId="0" borderId="0" xfId="3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6" fontId="6" fillId="3" borderId="2" xfId="3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166" fontId="6" fillId="3" borderId="1" xfId="3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166" fontId="6" fillId="3" borderId="0" xfId="3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167" fontId="6" fillId="0" borderId="1" xfId="3" applyNumberFormat="1" applyFont="1" applyBorder="1" applyAlignment="1">
      <alignment horizontal="center" vertical="center"/>
    </xf>
    <xf numFmtId="166" fontId="6" fillId="3" borderId="1" xfId="3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/>
    </xf>
    <xf numFmtId="168" fontId="6" fillId="3" borderId="2" xfId="3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13" fontId="6" fillId="3" borderId="1" xfId="0" applyNumberFormat="1" applyFont="1" applyFill="1" applyBorder="1" applyAlignment="1">
      <alignment horizontal="center" vertical="center"/>
    </xf>
    <xf numFmtId="167" fontId="6" fillId="0" borderId="1" xfId="3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6" fontId="3" fillId="0" borderId="1" xfId="3" applyFont="1" applyBorder="1" applyAlignment="1">
      <alignment horizontal="center" vertical="center"/>
    </xf>
    <xf numFmtId="166" fontId="6" fillId="0" borderId="2" xfId="3" applyFont="1" applyFill="1" applyBorder="1" applyAlignment="1">
      <alignment horizontal="center" vertical="center"/>
    </xf>
    <xf numFmtId="0" fontId="8" fillId="0" borderId="0" xfId="1" applyAlignment="1" applyProtection="1">
      <alignment vertical="center"/>
    </xf>
    <xf numFmtId="0" fontId="3" fillId="0" borderId="0" xfId="0" applyFont="1"/>
    <xf numFmtId="0" fontId="13" fillId="2" borderId="30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166" fontId="13" fillId="2" borderId="31" xfId="3" applyFont="1" applyFill="1" applyBorder="1" applyAlignment="1">
      <alignment horizontal="center" vertical="center"/>
    </xf>
    <xf numFmtId="166" fontId="6" fillId="0" borderId="0" xfId="3" applyFont="1" applyFill="1" applyAlignment="1">
      <alignment vertical="center"/>
    </xf>
    <xf numFmtId="166" fontId="3" fillId="0" borderId="1" xfId="3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vertical="center"/>
    </xf>
    <xf numFmtId="165" fontId="3" fillId="0" borderId="32" xfId="0" applyNumberFormat="1" applyFont="1" applyBorder="1" applyAlignment="1">
      <alignment vertical="center"/>
    </xf>
    <xf numFmtId="166" fontId="3" fillId="0" borderId="33" xfId="3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66" fontId="3" fillId="0" borderId="0" xfId="3" applyFont="1" applyAlignment="1">
      <alignment horizontal="center" vertical="center"/>
    </xf>
    <xf numFmtId="166" fontId="3" fillId="0" borderId="3" xfId="3" applyFont="1" applyBorder="1" applyAlignment="1">
      <alignment horizontal="center" vertical="center"/>
    </xf>
    <xf numFmtId="2" fontId="6" fillId="0" borderId="1" xfId="3" applyNumberFormat="1" applyFont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6" fontId="6" fillId="0" borderId="0" xfId="3" applyFont="1" applyAlignment="1">
      <alignment horizontal="right" vertical="center"/>
    </xf>
    <xf numFmtId="166" fontId="3" fillId="2" borderId="7" xfId="3" applyFont="1" applyFill="1" applyBorder="1" applyAlignment="1">
      <alignment horizontal="center" vertical="center"/>
    </xf>
    <xf numFmtId="166" fontId="3" fillId="0" borderId="12" xfId="3" applyFont="1" applyBorder="1" applyAlignment="1">
      <alignment vertical="center"/>
    </xf>
    <xf numFmtId="166" fontId="3" fillId="0" borderId="8" xfId="0" applyNumberFormat="1" applyFont="1" applyBorder="1" applyAlignment="1">
      <alignment vertical="center"/>
    </xf>
    <xf numFmtId="166" fontId="3" fillId="0" borderId="8" xfId="3" applyFont="1" applyBorder="1" applyAlignment="1">
      <alignment vertical="center"/>
    </xf>
    <xf numFmtId="10" fontId="3" fillId="0" borderId="13" xfId="2" applyNumberFormat="1" applyFont="1" applyBorder="1" applyAlignment="1">
      <alignment vertical="center"/>
    </xf>
    <xf numFmtId="166" fontId="3" fillId="0" borderId="36" xfId="3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166" fontId="6" fillId="0" borderId="37" xfId="3" applyFont="1" applyBorder="1" applyAlignment="1">
      <alignment vertical="center"/>
    </xf>
    <xf numFmtId="166" fontId="6" fillId="0" borderId="38" xfId="3" applyFont="1" applyBorder="1" applyAlignment="1">
      <alignment vertical="center"/>
    </xf>
    <xf numFmtId="166" fontId="6" fillId="0" borderId="39" xfId="3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1" fontId="6" fillId="0" borderId="35" xfId="3" applyNumberFormat="1" applyFont="1" applyBorder="1" applyAlignment="1">
      <alignment horizontal="center" vertical="center"/>
    </xf>
    <xf numFmtId="166" fontId="3" fillId="0" borderId="12" xfId="3" applyFont="1" applyBorder="1" applyAlignment="1">
      <alignment horizontal="left" vertical="center"/>
    </xf>
    <xf numFmtId="4" fontId="3" fillId="0" borderId="8" xfId="0" applyNumberFormat="1" applyFont="1" applyBorder="1" applyAlignment="1">
      <alignment horizontal="centerContinuous" vertical="center"/>
    </xf>
    <xf numFmtId="0" fontId="1" fillId="0" borderId="0" xfId="0" applyFont="1" applyBorder="1" applyAlignment="1">
      <alignment vertical="center"/>
    </xf>
    <xf numFmtId="4" fontId="0" fillId="0" borderId="0" xfId="0" applyNumberForma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166" fontId="6" fillId="6" borderId="1" xfId="3" applyFont="1" applyFill="1" applyBorder="1" applyAlignment="1">
      <alignment horizontal="center" vertical="center"/>
    </xf>
    <xf numFmtId="166" fontId="6" fillId="6" borderId="1" xfId="3" applyFont="1" applyFill="1" applyBorder="1" applyAlignment="1">
      <alignment vertical="center"/>
    </xf>
    <xf numFmtId="9" fontId="3" fillId="0" borderId="16" xfId="2" applyFont="1" applyBorder="1" applyAlignment="1">
      <alignment vertical="center"/>
    </xf>
    <xf numFmtId="10" fontId="6" fillId="0" borderId="13" xfId="2" applyNumberFormat="1" applyFont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166" fontId="6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0" fillId="0" borderId="36" xfId="0" applyFill="1" applyBorder="1" applyAlignment="1">
      <alignment vertical="center"/>
    </xf>
    <xf numFmtId="4" fontId="0" fillId="0" borderId="0" xfId="0" applyNumberFormat="1" applyFill="1" applyBorder="1" applyAlignment="1">
      <alignment vertical="center"/>
    </xf>
    <xf numFmtId="166" fontId="0" fillId="0" borderId="0" xfId="3" applyFont="1" applyFill="1" applyBorder="1" applyAlignment="1">
      <alignment vertical="center"/>
    </xf>
    <xf numFmtId="166" fontId="0" fillId="0" borderId="37" xfId="3" applyFont="1" applyFill="1" applyBorder="1" applyAlignment="1">
      <alignment vertical="center"/>
    </xf>
    <xf numFmtId="0" fontId="6" fillId="0" borderId="1" xfId="0" applyNumberFormat="1" applyFont="1" applyBorder="1" applyAlignment="1">
      <alignment horizontal="center" vertical="center"/>
    </xf>
    <xf numFmtId="167" fontId="3" fillId="0" borderId="0" xfId="3" applyNumberFormat="1" applyFont="1" applyBorder="1" applyAlignment="1">
      <alignment horizontal="center" vertical="center"/>
    </xf>
    <xf numFmtId="0" fontId="18" fillId="0" borderId="12" xfId="0" applyFont="1" applyBorder="1"/>
    <xf numFmtId="0" fontId="6" fillId="0" borderId="0" xfId="0" applyFont="1" applyBorder="1"/>
    <xf numFmtId="0" fontId="18" fillId="0" borderId="45" xfId="0" applyFont="1" applyBorder="1"/>
    <xf numFmtId="0" fontId="18" fillId="3" borderId="18" xfId="0" applyFont="1" applyFill="1" applyBorder="1"/>
    <xf numFmtId="0" fontId="18" fillId="0" borderId="21" xfId="0" applyFont="1" applyBorder="1"/>
    <xf numFmtId="0" fontId="18" fillId="0" borderId="46" xfId="0" applyFont="1" applyBorder="1"/>
    <xf numFmtId="0" fontId="18" fillId="0" borderId="18" xfId="0" applyFont="1" applyBorder="1"/>
    <xf numFmtId="0" fontId="18" fillId="0" borderId="26" xfId="0" applyFont="1" applyBorder="1"/>
    <xf numFmtId="2" fontId="19" fillId="7" borderId="1" xfId="0" applyNumberFormat="1" applyFont="1" applyFill="1" applyBorder="1" applyAlignment="1">
      <alignment horizontal="right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2" fontId="19" fillId="7" borderId="34" xfId="0" applyNumberFormat="1" applyFont="1" applyFill="1" applyBorder="1" applyAlignment="1">
      <alignment horizontal="right" vertical="center"/>
    </xf>
    <xf numFmtId="0" fontId="19" fillId="0" borderId="2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18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10" fontId="19" fillId="0" borderId="18" xfId="0" applyNumberFormat="1" applyFont="1" applyBorder="1" applyAlignment="1">
      <alignment horizontal="right" vertical="center"/>
    </xf>
    <xf numFmtId="0" fontId="19" fillId="0" borderId="0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10" fontId="23" fillId="0" borderId="18" xfId="0" applyNumberFormat="1" applyFont="1" applyBorder="1" applyAlignment="1">
      <alignment horizontal="right" vertical="center"/>
    </xf>
    <xf numFmtId="0" fontId="19" fillId="5" borderId="21" xfId="0" applyFont="1" applyFill="1" applyBorder="1" applyAlignment="1">
      <alignment horizontal="left" vertical="center"/>
    </xf>
    <xf numFmtId="0" fontId="23" fillId="5" borderId="1" xfId="0" applyFont="1" applyFill="1" applyBorder="1" applyAlignment="1">
      <alignment horizontal="left" vertical="center"/>
    </xf>
    <xf numFmtId="10" fontId="23" fillId="5" borderId="18" xfId="0" applyNumberFormat="1" applyFont="1" applyFill="1" applyBorder="1" applyAlignment="1">
      <alignment horizontal="right" vertical="center"/>
    </xf>
    <xf numFmtId="0" fontId="24" fillId="0" borderId="1" xfId="0" applyFont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10" fontId="6" fillId="0" borderId="0" xfId="0" applyNumberFormat="1" applyFont="1"/>
    <xf numFmtId="9" fontId="19" fillId="0" borderId="0" xfId="2" applyFont="1" applyBorder="1" applyAlignment="1">
      <alignment horizontal="right" vertical="center"/>
    </xf>
    <xf numFmtId="10" fontId="6" fillId="0" borderId="0" xfId="0" applyNumberFormat="1" applyFont="1" applyBorder="1"/>
    <xf numFmtId="0" fontId="19" fillId="0" borderId="1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/>
    </xf>
    <xf numFmtId="0" fontId="19" fillId="9" borderId="22" xfId="0" applyFont="1" applyFill="1" applyBorder="1" applyAlignment="1">
      <alignment horizontal="left" vertical="center"/>
    </xf>
    <xf numFmtId="0" fontId="23" fillId="9" borderId="34" xfId="0" applyFont="1" applyFill="1" applyBorder="1" applyAlignment="1">
      <alignment horizontal="left" vertical="center"/>
    </xf>
    <xf numFmtId="10" fontId="23" fillId="9" borderId="35" xfId="0" applyNumberFormat="1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left" vertical="center"/>
    </xf>
    <xf numFmtId="10" fontId="23" fillId="0" borderId="0" xfId="0" applyNumberFormat="1" applyFont="1" applyFill="1" applyBorder="1" applyAlignment="1">
      <alignment horizontal="right" vertical="center"/>
    </xf>
    <xf numFmtId="0" fontId="25" fillId="4" borderId="0" xfId="0" applyFont="1" applyFill="1" applyBorder="1" applyAlignment="1">
      <alignment horizontal="left" vertical="center"/>
    </xf>
    <xf numFmtId="10" fontId="19" fillId="0" borderId="0" xfId="0" applyNumberFormat="1" applyFont="1" applyFill="1" applyBorder="1" applyAlignment="1">
      <alignment horizontal="right" vertical="center"/>
    </xf>
    <xf numFmtId="0" fontId="19" fillId="4" borderId="0" xfId="0" applyFont="1" applyFill="1" applyBorder="1" applyAlignment="1">
      <alignment horizontal="left" vertical="center"/>
    </xf>
    <xf numFmtId="10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left" vertical="center"/>
    </xf>
    <xf numFmtId="10" fontId="23" fillId="0" borderId="0" xfId="0" applyNumberFormat="1" applyFont="1" applyBorder="1" applyAlignment="1">
      <alignment horizontal="right" vertical="center"/>
    </xf>
    <xf numFmtId="0" fontId="26" fillId="0" borderId="0" xfId="0" applyFont="1" applyBorder="1" applyAlignment="1">
      <alignment horizontal="justify" vertical="center"/>
    </xf>
    <xf numFmtId="0" fontId="8" fillId="0" borderId="0" xfId="1" applyFont="1" applyBorder="1" applyAlignment="1" applyProtection="1">
      <alignment horizontal="left" vertical="center"/>
    </xf>
    <xf numFmtId="0" fontId="27" fillId="0" borderId="0" xfId="0" applyFont="1" applyBorder="1"/>
    <xf numFmtId="0" fontId="19" fillId="0" borderId="0" xfId="0" applyFont="1" applyBorder="1" applyAlignment="1">
      <alignment horizontal="right" vertical="center"/>
    </xf>
    <xf numFmtId="0" fontId="8" fillId="0" borderId="0" xfId="1" applyFont="1" applyBorder="1" applyAlignment="1" applyProtection="1">
      <alignment vertical="center"/>
    </xf>
    <xf numFmtId="0" fontId="5" fillId="0" borderId="13" xfId="0" applyFont="1" applyBorder="1"/>
    <xf numFmtId="0" fontId="5" fillId="0" borderId="21" xfId="0" applyFont="1" applyBorder="1"/>
    <xf numFmtId="0" fontId="5" fillId="3" borderId="18" xfId="0" applyFont="1" applyFill="1" applyBorder="1"/>
    <xf numFmtId="0" fontId="5" fillId="0" borderId="45" xfId="0" applyFont="1" applyBorder="1"/>
    <xf numFmtId="0" fontId="5" fillId="3" borderId="46" xfId="0" applyFont="1" applyFill="1" applyBorder="1"/>
    <xf numFmtId="0" fontId="5" fillId="0" borderId="47" xfId="0" applyFont="1" applyBorder="1"/>
    <xf numFmtId="0" fontId="5" fillId="3" borderId="48" xfId="0" applyFont="1" applyFill="1" applyBorder="1"/>
    <xf numFmtId="0" fontId="5" fillId="0" borderId="36" xfId="0" applyFont="1" applyBorder="1"/>
    <xf numFmtId="0" fontId="5" fillId="0" borderId="37" xfId="0" applyFont="1" applyBorder="1"/>
    <xf numFmtId="0" fontId="7" fillId="0" borderId="46" xfId="0" applyFont="1" applyBorder="1"/>
    <xf numFmtId="0" fontId="7" fillId="0" borderId="36" xfId="0" applyFont="1" applyFill="1" applyBorder="1" applyAlignment="1">
      <alignment horizontal="left" vertical="center"/>
    </xf>
    <xf numFmtId="0" fontId="5" fillId="0" borderId="0" xfId="0" applyFont="1" applyBorder="1"/>
    <xf numFmtId="9" fontId="5" fillId="0" borderId="21" xfId="2" applyFont="1" applyBorder="1"/>
    <xf numFmtId="9" fontId="5" fillId="0" borderId="1" xfId="2" applyFont="1" applyBorder="1" applyAlignment="1">
      <alignment horizontal="center"/>
    </xf>
    <xf numFmtId="9" fontId="5" fillId="0" borderId="18" xfId="2" applyFont="1" applyBorder="1"/>
    <xf numFmtId="0" fontId="5" fillId="0" borderId="19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center" vertical="center"/>
    </xf>
    <xf numFmtId="10" fontId="5" fillId="3" borderId="10" xfId="0" applyNumberFormat="1" applyFont="1" applyFill="1" applyBorder="1" applyAlignment="1">
      <alignment horizontal="center" vertical="center"/>
    </xf>
    <xf numFmtId="10" fontId="5" fillId="0" borderId="18" xfId="2" applyNumberFormat="1" applyFont="1" applyBorder="1"/>
    <xf numFmtId="0" fontId="5" fillId="0" borderId="2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0" fontId="5" fillId="3" borderId="18" xfId="0" applyNumberFormat="1" applyFont="1" applyFill="1" applyBorder="1" applyAlignment="1">
      <alignment horizontal="center" vertical="center"/>
    </xf>
    <xf numFmtId="10" fontId="5" fillId="0" borderId="18" xfId="0" applyNumberFormat="1" applyFont="1" applyFill="1" applyBorder="1" applyAlignment="1">
      <alignment horizontal="center" vertical="center"/>
    </xf>
    <xf numFmtId="10" fontId="5" fillId="3" borderId="1" xfId="2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18" xfId="0" applyFont="1" applyBorder="1"/>
    <xf numFmtId="0" fontId="5" fillId="0" borderId="22" xfId="0" applyFont="1" applyFill="1" applyBorder="1" applyAlignment="1">
      <alignment horizontal="left" vertical="center"/>
    </xf>
    <xf numFmtId="10" fontId="5" fillId="3" borderId="35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3" xfId="0" applyFont="1" applyFill="1" applyBorder="1" applyAlignment="1">
      <alignment vertical="center"/>
    </xf>
    <xf numFmtId="0" fontId="5" fillId="0" borderId="24" xfId="0" applyFont="1" applyFill="1" applyBorder="1" applyAlignment="1">
      <alignment vertical="center"/>
    </xf>
    <xf numFmtId="10" fontId="5" fillId="0" borderId="25" xfId="0" applyNumberFormat="1" applyFont="1" applyFill="1" applyBorder="1" applyAlignment="1">
      <alignment vertical="center"/>
    </xf>
    <xf numFmtId="0" fontId="5" fillId="0" borderId="26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vertical="center"/>
    </xf>
    <xf numFmtId="0" fontId="7" fillId="5" borderId="5" xfId="0" applyFont="1" applyFill="1" applyBorder="1" applyAlignment="1">
      <alignment vertical="center" wrapText="1"/>
    </xf>
    <xf numFmtId="0" fontId="5" fillId="5" borderId="6" xfId="0" applyFont="1" applyFill="1" applyBorder="1" applyAlignment="1">
      <alignment vertical="center"/>
    </xf>
    <xf numFmtId="10" fontId="7" fillId="5" borderId="7" xfId="0" applyNumberFormat="1" applyFont="1" applyFill="1" applyBorder="1" applyAlignment="1">
      <alignment horizontal="center" vertical="center" wrapText="1"/>
    </xf>
    <xf numFmtId="10" fontId="5" fillId="0" borderId="21" xfId="2" applyNumberFormat="1" applyFont="1" applyBorder="1" applyAlignment="1">
      <alignment horizontal="right"/>
    </xf>
    <xf numFmtId="10" fontId="5" fillId="0" borderId="1" xfId="2" applyNumberFormat="1" applyFont="1" applyBorder="1" applyAlignment="1">
      <alignment horizontal="right"/>
    </xf>
    <xf numFmtId="10" fontId="5" fillId="0" borderId="18" xfId="2" applyNumberFormat="1" applyFont="1" applyBorder="1" applyAlignment="1">
      <alignment horizontal="right"/>
    </xf>
    <xf numFmtId="10" fontId="5" fillId="0" borderId="22" xfId="2" applyNumberFormat="1" applyFont="1" applyBorder="1" applyAlignment="1">
      <alignment horizontal="right"/>
    </xf>
    <xf numFmtId="10" fontId="5" fillId="0" borderId="34" xfId="2" applyNumberFormat="1" applyFont="1" applyBorder="1" applyAlignment="1">
      <alignment horizontal="right"/>
    </xf>
    <xf numFmtId="10" fontId="5" fillId="0" borderId="35" xfId="2" applyNumberFormat="1" applyFont="1" applyBorder="1" applyAlignment="1">
      <alignment horizontal="right"/>
    </xf>
    <xf numFmtId="0" fontId="6" fillId="0" borderId="50" xfId="0" applyFont="1" applyBorder="1"/>
    <xf numFmtId="0" fontId="20" fillId="0" borderId="50" xfId="0" applyFont="1" applyBorder="1" applyAlignment="1">
      <alignment horizontal="justify"/>
    </xf>
    <xf numFmtId="0" fontId="20" fillId="0" borderId="51" xfId="0" applyFont="1" applyBorder="1" applyAlignment="1">
      <alignment horizontal="justify"/>
    </xf>
    <xf numFmtId="0" fontId="17" fillId="10" borderId="49" xfId="0" applyFont="1" applyFill="1" applyBorder="1" applyAlignment="1">
      <alignment horizontal="center"/>
    </xf>
    <xf numFmtId="1" fontId="6" fillId="0" borderId="0" xfId="3" applyNumberFormat="1" applyFont="1" applyBorder="1" applyAlignment="1">
      <alignment horizontal="center" vertical="center"/>
    </xf>
    <xf numFmtId="169" fontId="3" fillId="0" borderId="1" xfId="0" applyNumberFormat="1" applyFont="1" applyBorder="1" applyAlignment="1">
      <alignment vertical="center"/>
    </xf>
    <xf numFmtId="169" fontId="0" fillId="0" borderId="1" xfId="0" applyNumberFormat="1" applyBorder="1" applyAlignment="1">
      <alignment vertical="center"/>
    </xf>
    <xf numFmtId="169" fontId="3" fillId="0" borderId="34" xfId="0" applyNumberFormat="1" applyFont="1" applyBorder="1" applyAlignment="1">
      <alignment vertical="center"/>
    </xf>
    <xf numFmtId="166" fontId="3" fillId="0" borderId="9" xfId="3" applyFont="1" applyBorder="1" applyAlignment="1">
      <alignment vertical="center"/>
    </xf>
    <xf numFmtId="166" fontId="3" fillId="0" borderId="5" xfId="3" applyFont="1" applyBorder="1" applyAlignment="1">
      <alignment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6" fontId="3" fillId="0" borderId="8" xfId="3" applyFont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 wrapText="1"/>
    </xf>
    <xf numFmtId="168" fontId="6" fillId="0" borderId="1" xfId="3" applyNumberFormat="1" applyFont="1" applyBorder="1" applyAlignment="1">
      <alignment horizontal="center" vertical="center"/>
    </xf>
    <xf numFmtId="167" fontId="3" fillId="0" borderId="1" xfId="3" applyNumberFormat="1" applyFont="1" applyBorder="1" applyAlignment="1">
      <alignment horizontal="center" vertical="center"/>
    </xf>
    <xf numFmtId="168" fontId="3" fillId="0" borderId="1" xfId="3" applyNumberFormat="1" applyFont="1" applyBorder="1" applyAlignment="1">
      <alignment horizontal="center" vertical="center"/>
    </xf>
    <xf numFmtId="168" fontId="6" fillId="0" borderId="2" xfId="3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/>
    <xf numFmtId="0" fontId="3" fillId="0" borderId="52" xfId="0" applyFont="1" applyBorder="1" applyAlignment="1">
      <alignment vertical="center"/>
    </xf>
    <xf numFmtId="0" fontId="3" fillId="0" borderId="52" xfId="0" applyFont="1" applyBorder="1" applyAlignment="1">
      <alignment horizontal="center" vertical="center"/>
    </xf>
    <xf numFmtId="166" fontId="3" fillId="0" borderId="52" xfId="3" applyFont="1" applyBorder="1" applyAlignment="1">
      <alignment horizontal="center" vertical="center"/>
    </xf>
    <xf numFmtId="166" fontId="3" fillId="0" borderId="52" xfId="3" applyFont="1" applyFill="1" applyBorder="1" applyAlignment="1">
      <alignment horizontal="center" vertical="center"/>
    </xf>
    <xf numFmtId="4" fontId="1" fillId="0" borderId="0" xfId="0" applyNumberFormat="1" applyFont="1" applyBorder="1" applyAlignment="1">
      <alignment vertical="center"/>
    </xf>
    <xf numFmtId="0" fontId="1" fillId="0" borderId="0" xfId="0" applyFont="1" applyFill="1"/>
    <xf numFmtId="0" fontId="7" fillId="0" borderId="21" xfId="0" applyFont="1" applyBorder="1"/>
    <xf numFmtId="0" fontId="7" fillId="0" borderId="1" xfId="0" applyFont="1" applyBorder="1"/>
    <xf numFmtId="0" fontId="7" fillId="0" borderId="18" xfId="0" applyFont="1" applyBorder="1"/>
    <xf numFmtId="0" fontId="5" fillId="0" borderId="21" xfId="0" applyFont="1" applyFill="1" applyBorder="1"/>
    <xf numFmtId="0" fontId="5" fillId="0" borderId="1" xfId="0" applyFont="1" applyFill="1" applyBorder="1"/>
    <xf numFmtId="0" fontId="5" fillId="0" borderId="1" xfId="0" applyFont="1" applyBorder="1"/>
    <xf numFmtId="172" fontId="5" fillId="0" borderId="18" xfId="0" applyNumberFormat="1" applyFont="1" applyBorder="1"/>
    <xf numFmtId="2" fontId="5" fillId="0" borderId="18" xfId="0" applyNumberFormat="1" applyFont="1" applyBorder="1"/>
    <xf numFmtId="0" fontId="5" fillId="0" borderId="22" xfId="0" applyFont="1" applyFill="1" applyBorder="1"/>
    <xf numFmtId="0" fontId="5" fillId="0" borderId="34" xfId="0" applyFont="1" applyBorder="1"/>
    <xf numFmtId="172" fontId="5" fillId="3" borderId="18" xfId="0" applyNumberFormat="1" applyFont="1" applyFill="1" applyBorder="1"/>
    <xf numFmtId="172" fontId="5" fillId="0" borderId="35" xfId="0" applyNumberFormat="1" applyFont="1" applyBorder="1"/>
    <xf numFmtId="0" fontId="17" fillId="0" borderId="1" xfId="0" applyFont="1" applyFill="1" applyBorder="1" applyAlignment="1">
      <alignment horizontal="center"/>
    </xf>
    <xf numFmtId="0" fontId="17" fillId="0" borderId="21" xfId="0" applyFont="1" applyFill="1" applyBorder="1" applyAlignment="1">
      <alignment horizontal="center"/>
    </xf>
    <xf numFmtId="0" fontId="17" fillId="0" borderId="18" xfId="0" applyFont="1" applyFill="1" applyBorder="1" applyAlignment="1">
      <alignment horizontal="center"/>
    </xf>
    <xf numFmtId="173" fontId="5" fillId="3" borderId="18" xfId="0" applyNumberFormat="1" applyFont="1" applyFill="1" applyBorder="1"/>
    <xf numFmtId="0" fontId="5" fillId="0" borderId="21" xfId="0" applyFont="1" applyBorder="1" applyAlignment="1">
      <alignment horizontal="right"/>
    </xf>
    <xf numFmtId="0" fontId="4" fillId="0" borderId="0" xfId="0" applyFont="1" applyAlignment="1">
      <alignment vertical="center"/>
    </xf>
    <xf numFmtId="4" fontId="32" fillId="0" borderId="0" xfId="0" applyNumberFormat="1" applyFont="1" applyBorder="1" applyAlignment="1">
      <alignment vertical="center"/>
    </xf>
    <xf numFmtId="0" fontId="33" fillId="0" borderId="0" xfId="0" applyFont="1" applyAlignment="1">
      <alignment vertical="center"/>
    </xf>
    <xf numFmtId="4" fontId="33" fillId="0" borderId="0" xfId="0" applyNumberFormat="1" applyFont="1" applyBorder="1" applyAlignment="1">
      <alignment vertical="center"/>
    </xf>
    <xf numFmtId="0" fontId="5" fillId="0" borderId="18" xfId="0" applyFont="1" applyFill="1" applyBorder="1"/>
    <xf numFmtId="0" fontId="31" fillId="0" borderId="0" xfId="0" applyFont="1"/>
    <xf numFmtId="0" fontId="1" fillId="0" borderId="2" xfId="0" applyFont="1" applyBorder="1" applyAlignment="1">
      <alignment vertical="center"/>
    </xf>
    <xf numFmtId="170" fontId="7" fillId="0" borderId="18" xfId="0" applyNumberFormat="1" applyFont="1" applyBorder="1"/>
    <xf numFmtId="9" fontId="18" fillId="0" borderId="18" xfId="2" applyFont="1" applyBorder="1"/>
    <xf numFmtId="10" fontId="18" fillId="0" borderId="18" xfId="2" applyNumberFormat="1" applyFont="1" applyBorder="1"/>
    <xf numFmtId="9" fontId="7" fillId="0" borderId="29" xfId="2" applyFont="1" applyBorder="1"/>
    <xf numFmtId="0" fontId="5" fillId="0" borderId="53" xfId="0" applyFont="1" applyBorder="1"/>
    <xf numFmtId="166" fontId="1" fillId="3" borderId="1" xfId="3" applyFont="1" applyFill="1" applyBorder="1" applyAlignment="1">
      <alignment horizontal="center" vertical="center"/>
    </xf>
    <xf numFmtId="0" fontId="6" fillId="0" borderId="1" xfId="3" applyNumberFormat="1" applyFont="1" applyBorder="1" applyAlignment="1">
      <alignment horizontal="right" vertical="center"/>
    </xf>
    <xf numFmtId="4" fontId="17" fillId="0" borderId="0" xfId="0" applyNumberFormat="1" applyFont="1" applyAlignment="1">
      <alignment vertical="center"/>
    </xf>
    <xf numFmtId="4" fontId="4" fillId="0" borderId="0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3" borderId="0" xfId="0" applyFont="1" applyFill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66" fontId="1" fillId="3" borderId="2" xfId="3" applyFont="1" applyFill="1" applyBorder="1" applyAlignment="1">
      <alignment horizontal="center" vertical="center"/>
    </xf>
    <xf numFmtId="166" fontId="1" fillId="0" borderId="2" xfId="3" applyFont="1" applyBorder="1" applyAlignment="1">
      <alignment horizontal="center" vertical="center"/>
    </xf>
    <xf numFmtId="166" fontId="1" fillId="0" borderId="0" xfId="3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6" fontId="1" fillId="0" borderId="1" xfId="3" applyFont="1" applyFill="1" applyBorder="1" applyAlignment="1">
      <alignment horizontal="center" vertical="center"/>
    </xf>
    <xf numFmtId="166" fontId="1" fillId="0" borderId="1" xfId="3" applyFont="1" applyBorder="1" applyAlignment="1">
      <alignment horizontal="center" vertical="center"/>
    </xf>
    <xf numFmtId="166" fontId="1" fillId="6" borderId="1" xfId="3" applyFont="1" applyFill="1" applyBorder="1" applyAlignment="1">
      <alignment horizontal="center" vertical="center"/>
    </xf>
    <xf numFmtId="166" fontId="1" fillId="0" borderId="0" xfId="3" applyFont="1" applyAlignment="1">
      <alignment horizontal="right" vertical="center"/>
    </xf>
    <xf numFmtId="166" fontId="1" fillId="0" borderId="1" xfId="3" applyFont="1" applyBorder="1" applyAlignment="1">
      <alignment vertical="center"/>
    </xf>
    <xf numFmtId="166" fontId="3" fillId="0" borderId="12" xfId="3" applyFont="1" applyBorder="1" applyAlignment="1">
      <alignment horizontal="left" vertical="center"/>
    </xf>
    <xf numFmtId="169" fontId="3" fillId="0" borderId="3" xfId="0" applyNumberFormat="1" applyFont="1" applyBorder="1" applyAlignment="1">
      <alignment vertical="center"/>
    </xf>
    <xf numFmtId="0" fontId="1" fillId="0" borderId="1" xfId="0" applyFont="1" applyBorder="1" applyAlignment="1">
      <alignment horizontal="justify" vertical="center"/>
    </xf>
    <xf numFmtId="0" fontId="13" fillId="2" borderId="15" xfId="0" applyFont="1" applyFill="1" applyBorder="1" applyAlignment="1">
      <alignment horizontal="justify" vertical="center"/>
    </xf>
    <xf numFmtId="10" fontId="3" fillId="3" borderId="7" xfId="2" applyNumberFormat="1" applyFont="1" applyFill="1" applyBorder="1" applyAlignment="1">
      <alignment vertical="center"/>
    </xf>
    <xf numFmtId="0" fontId="3" fillId="0" borderId="1" xfId="0" applyFont="1" applyBorder="1" applyAlignment="1">
      <alignment horizontal="justify" vertical="center"/>
    </xf>
    <xf numFmtId="0" fontId="1" fillId="0" borderId="2" xfId="0" applyFont="1" applyBorder="1" applyAlignment="1">
      <alignment horizontal="justify" vertical="center"/>
    </xf>
    <xf numFmtId="167" fontId="6" fillId="3" borderId="1" xfId="3" applyNumberFormat="1" applyFont="1" applyFill="1" applyBorder="1" applyAlignment="1">
      <alignment horizontal="center" vertical="center"/>
    </xf>
    <xf numFmtId="166" fontId="1" fillId="0" borderId="0" xfId="3" applyFont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13" fillId="2" borderId="19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166" fontId="13" fillId="2" borderId="20" xfId="3" applyFont="1" applyFill="1" applyBorder="1" applyAlignment="1">
      <alignment horizontal="center" vertical="center"/>
    </xf>
    <xf numFmtId="166" fontId="13" fillId="2" borderId="10" xfId="3" applyFont="1" applyFill="1" applyBorder="1" applyAlignment="1">
      <alignment horizontal="center" vertical="center"/>
    </xf>
    <xf numFmtId="171" fontId="24" fillId="3" borderId="18" xfId="3" applyNumberFormat="1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166" fontId="3" fillId="0" borderId="12" xfId="3" applyFont="1" applyBorder="1" applyAlignment="1">
      <alignment horizontal="left" vertical="center"/>
    </xf>
    <xf numFmtId="166" fontId="3" fillId="0" borderId="8" xfId="3" applyFont="1" applyBorder="1" applyAlignment="1">
      <alignment horizontal="left" vertical="center"/>
    </xf>
    <xf numFmtId="0" fontId="17" fillId="8" borderId="23" xfId="0" applyFont="1" applyFill="1" applyBorder="1" applyAlignment="1">
      <alignment horizontal="center" vertical="center"/>
    </xf>
    <xf numFmtId="0" fontId="17" fillId="8" borderId="24" xfId="0" applyFont="1" applyFill="1" applyBorder="1" applyAlignment="1">
      <alignment horizontal="center" vertical="center"/>
    </xf>
    <xf numFmtId="0" fontId="17" fillId="8" borderId="25" xfId="0" applyFont="1" applyFill="1" applyBorder="1" applyAlignment="1">
      <alignment horizontal="center" vertical="center"/>
    </xf>
    <xf numFmtId="0" fontId="7" fillId="8" borderId="42" xfId="0" applyFont="1" applyFill="1" applyBorder="1" applyAlignment="1">
      <alignment horizontal="center" vertical="center"/>
    </xf>
    <xf numFmtId="0" fontId="7" fillId="8" borderId="40" xfId="0" applyFont="1" applyFill="1" applyBorder="1" applyAlignment="1">
      <alignment horizontal="center" vertical="center"/>
    </xf>
    <xf numFmtId="0" fontId="7" fillId="8" borderId="43" xfId="0" applyFont="1" applyFill="1" applyBorder="1" applyAlignment="1">
      <alignment horizontal="center" vertical="center"/>
    </xf>
    <xf numFmtId="166" fontId="3" fillId="0" borderId="5" xfId="3" applyFont="1" applyBorder="1" applyAlignment="1">
      <alignment horizontal="center" vertical="center"/>
    </xf>
    <xf numFmtId="166" fontId="3" fillId="0" borderId="6" xfId="3" applyFont="1" applyBorder="1" applyAlignment="1">
      <alignment horizontal="center" vertical="center"/>
    </xf>
    <xf numFmtId="166" fontId="3" fillId="0" borderId="41" xfId="3" applyFont="1" applyBorder="1" applyAlignment="1">
      <alignment horizontal="center" vertical="center"/>
    </xf>
    <xf numFmtId="166" fontId="4" fillId="8" borderId="5" xfId="3" applyFont="1" applyFill="1" applyBorder="1" applyAlignment="1">
      <alignment horizontal="center" vertical="center"/>
    </xf>
    <xf numFmtId="166" fontId="4" fillId="8" borderId="6" xfId="3" applyFont="1" applyFill="1" applyBorder="1" applyAlignment="1">
      <alignment horizontal="center" vertical="center"/>
    </xf>
    <xf numFmtId="166" fontId="4" fillId="8" borderId="7" xfId="3" applyFont="1" applyFill="1" applyBorder="1" applyAlignment="1">
      <alignment horizontal="center" vertical="center"/>
    </xf>
    <xf numFmtId="0" fontId="17" fillId="8" borderId="19" xfId="0" applyFont="1" applyFill="1" applyBorder="1" applyAlignment="1">
      <alignment horizontal="center" vertical="center"/>
    </xf>
    <xf numFmtId="0" fontId="17" fillId="8" borderId="20" xfId="0" applyFont="1" applyFill="1" applyBorder="1" applyAlignment="1">
      <alignment horizontal="center" vertical="center"/>
    </xf>
    <xf numFmtId="0" fontId="17" fillId="8" borderId="10" xfId="0" applyFont="1" applyFill="1" applyBorder="1" applyAlignment="1">
      <alignment horizontal="center" vertical="center"/>
    </xf>
    <xf numFmtId="0" fontId="17" fillId="10" borderId="17" xfId="0" applyFont="1" applyFill="1" applyBorder="1" applyAlignment="1">
      <alignment horizontal="center"/>
    </xf>
    <xf numFmtId="0" fontId="17" fillId="10" borderId="44" xfId="0" applyFont="1" applyFill="1" applyBorder="1" applyAlignment="1">
      <alignment horizontal="center"/>
    </xf>
    <xf numFmtId="0" fontId="17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5" fillId="0" borderId="1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9" fontId="7" fillId="0" borderId="19" xfId="2" applyFont="1" applyBorder="1" applyAlignment="1">
      <alignment horizontal="center"/>
    </xf>
    <xf numFmtId="9" fontId="7" fillId="0" borderId="20" xfId="2" applyFont="1" applyBorder="1" applyAlignment="1">
      <alignment horizontal="center"/>
    </xf>
    <xf numFmtId="9" fontId="7" fillId="0" borderId="10" xfId="2" applyFont="1" applyBorder="1" applyAlignment="1">
      <alignment horizontal="center"/>
    </xf>
    <xf numFmtId="0" fontId="4" fillId="10" borderId="23" xfId="0" applyFont="1" applyFill="1" applyBorder="1" applyAlignment="1">
      <alignment horizontal="center" vertical="center"/>
    </xf>
    <xf numFmtId="0" fontId="4" fillId="10" borderId="24" xfId="0" applyFont="1" applyFill="1" applyBorder="1" applyAlignment="1">
      <alignment horizontal="center" vertical="center"/>
    </xf>
    <xf numFmtId="0" fontId="4" fillId="10" borderId="25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/>
    </xf>
    <xf numFmtId="0" fontId="4" fillId="10" borderId="6" xfId="0" applyFont="1" applyFill="1" applyBorder="1" applyAlignment="1">
      <alignment horizontal="center" vertical="center"/>
    </xf>
    <xf numFmtId="0" fontId="17" fillId="10" borderId="19" xfId="0" applyFont="1" applyFill="1" applyBorder="1" applyAlignment="1">
      <alignment horizontal="center"/>
    </xf>
    <xf numFmtId="0" fontId="17" fillId="10" borderId="20" xfId="0" applyFont="1" applyFill="1" applyBorder="1" applyAlignment="1">
      <alignment horizontal="center"/>
    </xf>
    <xf numFmtId="0" fontId="17" fillId="10" borderId="10" xfId="0" applyFont="1" applyFill="1" applyBorder="1" applyAlignment="1">
      <alignment horizontal="center"/>
    </xf>
  </cellXfs>
  <cellStyles count="4">
    <cellStyle name="Hiperlink" xfId="1" builtinId="8"/>
    <cellStyle name="Normal" xfId="0" builtinId="0"/>
    <cellStyle name="Porcentagem" xfId="2" builtinId="5"/>
    <cellStyle name="Vírgula" xfId="3" builtinId="3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4</xdr:row>
      <xdr:rowOff>28575</xdr:rowOff>
    </xdr:from>
    <xdr:to>
      <xdr:col>0</xdr:col>
      <xdr:colOff>1419225</xdr:colOff>
      <xdr:row>6</xdr:row>
      <xdr:rowOff>66675</xdr:rowOff>
    </xdr:to>
    <xdr:pic>
      <xdr:nvPicPr>
        <xdr:cNvPr id="6506" name="Picture 2">
          <a:extLst>
            <a:ext uri="{FF2B5EF4-FFF2-40B4-BE49-F238E27FC236}">
              <a16:creationId xmlns:a16="http://schemas.microsoft.com/office/drawing/2014/main" id="{00000000-0008-0000-0500-00006A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19100"/>
          <a:ext cx="12858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7</xdr:row>
      <xdr:rowOff>9525</xdr:rowOff>
    </xdr:from>
    <xdr:to>
      <xdr:col>0</xdr:col>
      <xdr:colOff>2124075</xdr:colOff>
      <xdr:row>9</xdr:row>
      <xdr:rowOff>57150</xdr:rowOff>
    </xdr:to>
    <xdr:pic>
      <xdr:nvPicPr>
        <xdr:cNvPr id="6507" name="Picture 1">
          <a:extLst>
            <a:ext uri="{FF2B5EF4-FFF2-40B4-BE49-F238E27FC236}">
              <a16:creationId xmlns:a16="http://schemas.microsoft.com/office/drawing/2014/main" id="{00000000-0008-0000-0500-00006B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85825"/>
          <a:ext cx="20383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6"/>
  <sheetViews>
    <sheetView tabSelected="1" view="pageBreakPreview" zoomScale="150" zoomScaleNormal="100" zoomScaleSheetLayoutView="150" workbookViewId="0">
      <selection activeCell="F310" sqref="F310"/>
    </sheetView>
  </sheetViews>
  <sheetFormatPr defaultRowHeight="12.75" x14ac:dyDescent="0.2"/>
  <cols>
    <col min="1" max="1" width="44.5703125" style="9" customWidth="1"/>
    <col min="2" max="2" width="16" style="9" bestFit="1" customWidth="1"/>
    <col min="3" max="3" width="11.85546875" style="9" customWidth="1"/>
    <col min="4" max="4" width="14.7109375" style="10" customWidth="1"/>
    <col min="5" max="5" width="15.42578125" style="10" customWidth="1"/>
    <col min="6" max="6" width="13.28515625" style="10" customWidth="1"/>
    <col min="7" max="7" width="28.140625" style="10" customWidth="1"/>
    <col min="8" max="8" width="9.140625" style="9"/>
    <col min="9" max="9" width="14.5703125" style="9" customWidth="1"/>
    <col min="10" max="10" width="13.42578125" style="9" customWidth="1"/>
    <col min="11" max="16384" width="9.140625" style="9"/>
  </cols>
  <sheetData>
    <row r="1" spans="1:7" ht="15.75" x14ac:dyDescent="0.2">
      <c r="A1" s="297"/>
    </row>
    <row r="2" spans="1:7" ht="15.75" x14ac:dyDescent="0.2">
      <c r="A2" s="300"/>
    </row>
    <row r="3" spans="1:7" ht="15.75" x14ac:dyDescent="0.2">
      <c r="A3" s="300"/>
    </row>
    <row r="4" spans="1:7" ht="15.75" x14ac:dyDescent="0.2">
      <c r="A4" s="300"/>
    </row>
    <row r="5" spans="1:7" s="4" customFormat="1" ht="15.6" customHeight="1" x14ac:dyDescent="0.2">
      <c r="A5" s="299"/>
      <c r="C5" s="140"/>
      <c r="D5" s="140"/>
      <c r="E5" s="140"/>
      <c r="F5" s="140"/>
      <c r="G5" s="6"/>
    </row>
    <row r="6" spans="1:7" s="4" customFormat="1" ht="15.6" customHeight="1" x14ac:dyDescent="0.2">
      <c r="A6" s="298"/>
      <c r="B6" s="140"/>
      <c r="C6" s="140"/>
      <c r="D6" s="140"/>
      <c r="E6" s="140"/>
      <c r="F6" s="140"/>
      <c r="G6" s="6"/>
    </row>
    <row r="7" spans="1:7" s="4" customFormat="1" ht="15.6" customHeight="1" x14ac:dyDescent="0.2">
      <c r="A7" s="139"/>
      <c r="B7" s="140"/>
      <c r="C7" s="140"/>
      <c r="D7" s="140"/>
      <c r="E7" s="140"/>
      <c r="F7" s="140"/>
      <c r="G7" s="6"/>
    </row>
    <row r="8" spans="1:7" s="4" customFormat="1" ht="15.6" customHeight="1" x14ac:dyDescent="0.2">
      <c r="A8" s="300"/>
      <c r="B8" s="140"/>
      <c r="C8" s="140"/>
      <c r="D8" s="140"/>
      <c r="E8" s="140"/>
      <c r="F8" s="140"/>
      <c r="G8" s="6"/>
    </row>
    <row r="9" spans="1:7" s="4" customFormat="1" ht="15.6" customHeight="1" x14ac:dyDescent="0.2">
      <c r="A9" s="314" t="s">
        <v>286</v>
      </c>
      <c r="B9" s="140"/>
      <c r="C9" s="140"/>
      <c r="D9" s="140"/>
      <c r="E9" s="140"/>
      <c r="F9" s="140"/>
      <c r="G9" s="6"/>
    </row>
    <row r="10" spans="1:7" s="4" customFormat="1" ht="16.5" customHeight="1" thickBot="1" x14ac:dyDescent="0.25">
      <c r="A10" s="7"/>
      <c r="B10" s="5"/>
      <c r="C10" s="5"/>
      <c r="D10" s="6"/>
      <c r="E10" s="6"/>
      <c r="F10" s="6"/>
      <c r="G10" s="6"/>
    </row>
    <row r="11" spans="1:7" s="8" customFormat="1" ht="18" x14ac:dyDescent="0.2">
      <c r="A11" s="346" t="s">
        <v>283</v>
      </c>
      <c r="B11" s="347"/>
      <c r="C11" s="347"/>
      <c r="D11" s="347"/>
      <c r="E11" s="347"/>
      <c r="F11" s="348"/>
      <c r="G11" s="36"/>
    </row>
    <row r="12" spans="1:7" s="8" customFormat="1" ht="21.75" customHeight="1" x14ac:dyDescent="0.2">
      <c r="A12" s="349" t="s">
        <v>41</v>
      </c>
      <c r="B12" s="350"/>
      <c r="C12" s="350"/>
      <c r="D12" s="350"/>
      <c r="E12" s="350"/>
      <c r="F12" s="351"/>
      <c r="G12" s="36"/>
    </row>
    <row r="13" spans="1:7" s="4" customFormat="1" ht="10.9" customHeight="1" thickBot="1" x14ac:dyDescent="0.25">
      <c r="A13" s="152"/>
      <c r="B13" s="153"/>
      <c r="C13" s="153"/>
      <c r="D13" s="154"/>
      <c r="E13" s="154"/>
      <c r="F13" s="155"/>
      <c r="G13" s="6"/>
    </row>
    <row r="14" spans="1:7" s="4" customFormat="1" ht="15.75" customHeight="1" thickBot="1" x14ac:dyDescent="0.25">
      <c r="A14" s="355" t="s">
        <v>203</v>
      </c>
      <c r="B14" s="356"/>
      <c r="C14" s="356"/>
      <c r="D14" s="356"/>
      <c r="E14" s="356"/>
      <c r="F14" s="357"/>
      <c r="G14" s="6"/>
    </row>
    <row r="15" spans="1:7" s="4" customFormat="1" ht="15.75" customHeight="1" x14ac:dyDescent="0.2">
      <c r="A15" s="64" t="s">
        <v>202</v>
      </c>
      <c r="B15" s="40"/>
      <c r="C15" s="40"/>
      <c r="D15" s="256"/>
      <c r="E15" s="116" t="s">
        <v>36</v>
      </c>
      <c r="F15" s="41" t="s">
        <v>2</v>
      </c>
      <c r="G15" s="6"/>
    </row>
    <row r="16" spans="1:7" s="11" customFormat="1" ht="15.75" customHeight="1" x14ac:dyDescent="0.2">
      <c r="A16" s="126" t="str">
        <f>A57</f>
        <v>1. Mão-de-obra</v>
      </c>
      <c r="B16" s="127"/>
      <c r="C16" s="128"/>
      <c r="D16" s="128"/>
      <c r="E16" s="253">
        <f>+F147</f>
        <v>6904.4762044786867</v>
      </c>
      <c r="F16" s="129">
        <f t="shared" ref="F16:F39" si="0">IFERROR(E16/$E$40,0)</f>
        <v>0.22089366000072175</v>
      </c>
      <c r="G16" s="44"/>
    </row>
    <row r="17" spans="1:7" s="4" customFormat="1" ht="15.75" customHeight="1" x14ac:dyDescent="0.2">
      <c r="A17" s="49" t="str">
        <f>A59</f>
        <v>1.1. Coletor Turno Dia</v>
      </c>
      <c r="B17" s="45"/>
      <c r="C17" s="47"/>
      <c r="D17" s="47"/>
      <c r="E17" s="254">
        <f>F70</f>
        <v>3530.1813406701067</v>
      </c>
      <c r="F17" s="58">
        <f t="shared" si="0"/>
        <v>0.11294045394798373</v>
      </c>
      <c r="G17" s="6"/>
    </row>
    <row r="18" spans="1:7" s="4" customFormat="1" ht="15.75" customHeight="1" x14ac:dyDescent="0.2">
      <c r="A18" s="49" t="str">
        <f>A72</f>
        <v>1.2. Coletor Turno Noite</v>
      </c>
      <c r="B18" s="45"/>
      <c r="C18" s="47"/>
      <c r="D18" s="47"/>
      <c r="E18" s="254">
        <f>F89</f>
        <v>0</v>
      </c>
      <c r="F18" s="58">
        <f t="shared" si="0"/>
        <v>0</v>
      </c>
      <c r="G18" s="6"/>
    </row>
    <row r="19" spans="1:7" s="4" customFormat="1" ht="15.75" customHeight="1" x14ac:dyDescent="0.2">
      <c r="A19" s="49" t="str">
        <f>A91</f>
        <v>1.3. Motorista Turno do Dia</v>
      </c>
      <c r="B19" s="45"/>
      <c r="C19" s="47"/>
      <c r="D19" s="47"/>
      <c r="E19" s="254">
        <f>F104</f>
        <v>2541.2914330393492</v>
      </c>
      <c r="F19" s="58">
        <f t="shared" si="0"/>
        <v>8.1303077764017767E-2</v>
      </c>
      <c r="G19" s="6"/>
    </row>
    <row r="20" spans="1:7" s="4" customFormat="1" ht="15.75" customHeight="1" x14ac:dyDescent="0.2">
      <c r="A20" s="49" t="str">
        <f>A106</f>
        <v>1.4. Motorista Turno Noite</v>
      </c>
      <c r="B20" s="45"/>
      <c r="C20" s="47"/>
      <c r="D20" s="47"/>
      <c r="E20" s="254">
        <f>F125</f>
        <v>0</v>
      </c>
      <c r="F20" s="58">
        <f t="shared" si="0"/>
        <v>0</v>
      </c>
      <c r="G20" s="6"/>
    </row>
    <row r="21" spans="1:7" s="4" customFormat="1" ht="15.75" customHeight="1" x14ac:dyDescent="0.2">
      <c r="A21" s="49" t="str">
        <f>A127</f>
        <v>1.5. Vale Transporte</v>
      </c>
      <c r="B21" s="45"/>
      <c r="C21" s="47"/>
      <c r="D21" s="47"/>
      <c r="E21" s="254">
        <f>F133</f>
        <v>40.783430769230762</v>
      </c>
      <c r="F21" s="58">
        <f t="shared" si="0"/>
        <v>1.304776933572129E-3</v>
      </c>
      <c r="G21" s="6"/>
    </row>
    <row r="22" spans="1:7" s="4" customFormat="1" ht="15.75" customHeight="1" x14ac:dyDescent="0.2">
      <c r="A22" s="49" t="str">
        <f>A135</f>
        <v>1.6. Vale-refeição (diário)</v>
      </c>
      <c r="B22" s="45"/>
      <c r="C22" s="47"/>
      <c r="D22" s="47"/>
      <c r="E22" s="254">
        <f>F139</f>
        <v>792.22</v>
      </c>
      <c r="F22" s="58">
        <f t="shared" si="0"/>
        <v>2.5345351355148114E-2</v>
      </c>
      <c r="G22" s="6"/>
    </row>
    <row r="23" spans="1:7" s="4" customFormat="1" ht="15.75" customHeight="1" x14ac:dyDescent="0.2">
      <c r="A23" s="49" t="str">
        <f>A141</f>
        <v>1.7. Auxílio Alimentação (mensal)</v>
      </c>
      <c r="B23" s="45"/>
      <c r="C23" s="47"/>
      <c r="D23" s="47"/>
      <c r="E23" s="254">
        <f>F145</f>
        <v>0</v>
      </c>
      <c r="F23" s="58">
        <f t="shared" si="0"/>
        <v>0</v>
      </c>
      <c r="G23" s="6"/>
    </row>
    <row r="24" spans="1:7" s="11" customFormat="1" ht="15.75" customHeight="1" x14ac:dyDescent="0.2">
      <c r="A24" s="344" t="str">
        <f>A149</f>
        <v>2. Uniformes e Equipamentos de Proteção Individual</v>
      </c>
      <c r="B24" s="345"/>
      <c r="C24" s="345"/>
      <c r="D24" s="128"/>
      <c r="E24" s="253">
        <f>+F181</f>
        <v>179.01647500000001</v>
      </c>
      <c r="F24" s="129">
        <f t="shared" si="0"/>
        <v>5.7272417475386743E-3</v>
      </c>
      <c r="G24" s="44"/>
    </row>
    <row r="25" spans="1:7" s="11" customFormat="1" ht="15.75" customHeight="1" x14ac:dyDescent="0.2">
      <c r="A25" s="137" t="str">
        <f>A183</f>
        <v>3. Veículos e Equipamentos</v>
      </c>
      <c r="B25" s="138"/>
      <c r="C25" s="128"/>
      <c r="D25" s="128"/>
      <c r="E25" s="253">
        <f>+F284</f>
        <v>13309.858888575834</v>
      </c>
      <c r="F25" s="129">
        <f t="shared" si="0"/>
        <v>0.42581991115901602</v>
      </c>
      <c r="G25" s="44"/>
    </row>
    <row r="26" spans="1:7" s="4" customFormat="1" ht="15.75" customHeight="1" x14ac:dyDescent="0.2">
      <c r="A26" s="65" t="str">
        <f>A185</f>
        <v>3.1. Veículo Coletor Compactador 8 m³ (mínimo)</v>
      </c>
      <c r="B26" s="46"/>
      <c r="C26" s="47"/>
      <c r="D26" s="47"/>
      <c r="E26" s="254">
        <f>SUM(E27:E32)</f>
        <v>12793.275555242501</v>
      </c>
      <c r="F26" s="145">
        <f t="shared" si="0"/>
        <v>0.40929295389014253</v>
      </c>
      <c r="G26" s="6"/>
    </row>
    <row r="27" spans="1:7" s="4" customFormat="1" ht="15.75" customHeight="1" x14ac:dyDescent="0.2">
      <c r="A27" s="65" t="str">
        <f>A187</f>
        <v>3.1.1. Depreciação</v>
      </c>
      <c r="B27" s="46"/>
      <c r="C27" s="47"/>
      <c r="D27" s="47"/>
      <c r="E27" s="254">
        <f>F201</f>
        <v>1007.8718220000001</v>
      </c>
      <c r="F27" s="145">
        <f t="shared" si="0"/>
        <v>3.224466114153051E-2</v>
      </c>
      <c r="G27" s="6"/>
    </row>
    <row r="28" spans="1:7" s="4" customFormat="1" ht="15.75" customHeight="1" x14ac:dyDescent="0.2">
      <c r="A28" s="65" t="str">
        <f>A203</f>
        <v>3.1.2. Remuneração do Capital</v>
      </c>
      <c r="B28" s="46"/>
      <c r="C28" s="47"/>
      <c r="D28" s="47"/>
      <c r="E28" s="254">
        <f>F217</f>
        <v>458.95573324249989</v>
      </c>
      <c r="F28" s="145">
        <f t="shared" si="0"/>
        <v>1.4683287868888428E-2</v>
      </c>
      <c r="G28" s="6"/>
    </row>
    <row r="29" spans="1:7" s="4" customFormat="1" ht="15.75" customHeight="1" x14ac:dyDescent="0.2">
      <c r="A29" s="65" t="str">
        <f>A219</f>
        <v>3.1.3. Impostos e Seguros</v>
      </c>
      <c r="B29" s="46"/>
      <c r="C29" s="47"/>
      <c r="D29" s="47"/>
      <c r="E29" s="254">
        <f>F225</f>
        <v>239.5795</v>
      </c>
      <c r="F29" s="145">
        <f t="shared" si="0"/>
        <v>7.6648236663940661E-3</v>
      </c>
      <c r="G29" s="6"/>
    </row>
    <row r="30" spans="1:7" s="4" customFormat="1" ht="15.75" customHeight="1" x14ac:dyDescent="0.2">
      <c r="A30" s="65" t="str">
        <f>A227</f>
        <v>3.1.4. Consumos</v>
      </c>
      <c r="B30" s="46"/>
      <c r="C30" s="47"/>
      <c r="D30" s="47"/>
      <c r="E30" s="254">
        <f>F247</f>
        <v>6720.2444999999998</v>
      </c>
      <c r="F30" s="145">
        <f t="shared" si="0"/>
        <v>0.21499956835853884</v>
      </c>
      <c r="G30" s="6"/>
    </row>
    <row r="31" spans="1:7" s="4" customFormat="1" ht="15.75" customHeight="1" x14ac:dyDescent="0.2">
      <c r="A31" s="65" t="str">
        <f>A249</f>
        <v>3.1.5. Manutenção</v>
      </c>
      <c r="B31" s="46"/>
      <c r="C31" s="47"/>
      <c r="D31" s="47"/>
      <c r="E31" s="254">
        <f>F252</f>
        <v>3611.2</v>
      </c>
      <c r="F31" s="145">
        <f t="shared" si="0"/>
        <v>0.11553246928089528</v>
      </c>
      <c r="G31" s="6"/>
    </row>
    <row r="32" spans="1:7" s="4" customFormat="1" ht="15.75" customHeight="1" x14ac:dyDescent="0.2">
      <c r="A32" s="65" t="str">
        <f>A254</f>
        <v>3.1.6. Pneus</v>
      </c>
      <c r="B32" s="46"/>
      <c r="C32" s="47"/>
      <c r="D32" s="47"/>
      <c r="E32" s="254">
        <f>F261</f>
        <v>755.42399999999998</v>
      </c>
      <c r="F32" s="145">
        <f t="shared" si="0"/>
        <v>2.4168143573895393E-2</v>
      </c>
      <c r="G32" s="6"/>
    </row>
    <row r="33" spans="1:7" s="4" customFormat="1" ht="15.75" customHeight="1" x14ac:dyDescent="0.2">
      <c r="A33" s="65" t="str">
        <f>A263</f>
        <v>3.2. Custo Container - item 07 do Projeto Básico</v>
      </c>
      <c r="B33" s="46"/>
      <c r="C33" s="47"/>
      <c r="D33" s="47"/>
      <c r="E33" s="254">
        <f>SUM(E34:E35)</f>
        <v>516.58333333333326</v>
      </c>
      <c r="F33" s="145">
        <f t="shared" si="0"/>
        <v>1.6526957268873453E-2</v>
      </c>
      <c r="G33" s="6"/>
    </row>
    <row r="34" spans="1:7" s="4" customFormat="1" ht="15.75" customHeight="1" x14ac:dyDescent="0.2">
      <c r="A34" s="65" t="str">
        <f>A265</f>
        <v>3.2.1. Depreciação do container</v>
      </c>
      <c r="B34" s="46"/>
      <c r="C34" s="47"/>
      <c r="D34" s="47"/>
      <c r="E34" s="254">
        <f>F273</f>
        <v>294.70833333333331</v>
      </c>
      <c r="F34" s="145">
        <f t="shared" si="0"/>
        <v>9.4285504728780396E-3</v>
      </c>
      <c r="G34" s="6"/>
    </row>
    <row r="35" spans="1:7" s="4" customFormat="1" ht="15.75" customHeight="1" x14ac:dyDescent="0.2">
      <c r="A35" s="65" t="str">
        <f>A274</f>
        <v>3.2.2. Remuneração do capital - container</v>
      </c>
      <c r="B35" s="46"/>
      <c r="C35" s="47"/>
      <c r="D35" s="47"/>
      <c r="E35" s="254">
        <f>F282</f>
        <v>221.875</v>
      </c>
      <c r="F35" s="145">
        <f t="shared" si="0"/>
        <v>7.0984067959954144E-3</v>
      </c>
      <c r="G35" s="6"/>
    </row>
    <row r="36" spans="1:7" s="11" customFormat="1" ht="15.75" customHeight="1" x14ac:dyDescent="0.2">
      <c r="A36" s="137" t="str">
        <f>A286</f>
        <v>4. Ferramentas e Materiais de Consumo</v>
      </c>
      <c r="B36" s="138"/>
      <c r="C36" s="128"/>
      <c r="D36" s="128"/>
      <c r="E36" s="253">
        <f>+F296</f>
        <v>44.222916666666663</v>
      </c>
      <c r="F36" s="129">
        <f t="shared" si="0"/>
        <v>1.4148157845877431E-3</v>
      </c>
      <c r="G36" s="44"/>
    </row>
    <row r="37" spans="1:7" s="11" customFormat="1" ht="15.75" customHeight="1" x14ac:dyDescent="0.2">
      <c r="A37" s="137" t="str">
        <f>A298</f>
        <v>5. Monitoramento da Frota</v>
      </c>
      <c r="B37" s="138"/>
      <c r="C37" s="128"/>
      <c r="D37" s="128"/>
      <c r="E37" s="253">
        <f>+F307</f>
        <v>32.930250000000001</v>
      </c>
      <c r="F37" s="129">
        <f t="shared" si="0"/>
        <v>1.0535315398031684E-3</v>
      </c>
      <c r="G37" s="44"/>
    </row>
    <row r="38" spans="1:7" s="11" customFormat="1" ht="15.75" customHeight="1" x14ac:dyDescent="0.2">
      <c r="A38" s="327" t="str">
        <f>A311</f>
        <v>6. Destinação final</v>
      </c>
      <c r="B38" s="138"/>
      <c r="C38" s="128"/>
      <c r="D38" s="128"/>
      <c r="E38" s="328">
        <f>F318</f>
        <v>3150</v>
      </c>
      <c r="F38" s="129">
        <f t="shared" si="0"/>
        <v>0.10077738099103349</v>
      </c>
      <c r="G38" s="44"/>
    </row>
    <row r="39" spans="1:7" s="11" customFormat="1" ht="15.75" customHeight="1" thickBot="1" x14ac:dyDescent="0.25">
      <c r="A39" s="137" t="str">
        <f>A320</f>
        <v>7. Benefícios e Despesas Indiretas - BDI</v>
      </c>
      <c r="B39" s="138"/>
      <c r="C39" s="128"/>
      <c r="D39" s="128"/>
      <c r="E39" s="255">
        <f>+F326</f>
        <v>7636.5091807353592</v>
      </c>
      <c r="F39" s="129">
        <f t="shared" si="0"/>
        <v>0.24431345877729915</v>
      </c>
      <c r="G39" s="44"/>
    </row>
    <row r="40" spans="1:7" s="4" customFormat="1" ht="15.75" customHeight="1" thickBot="1" x14ac:dyDescent="0.25">
      <c r="A40" s="42" t="s">
        <v>304</v>
      </c>
      <c r="B40" s="43"/>
      <c r="C40" s="26"/>
      <c r="D40" s="26"/>
      <c r="E40" s="115">
        <f>E16+E24+E25+E36+E37+E39+E38</f>
        <v>31257.013915456548</v>
      </c>
      <c r="F40" s="144">
        <f>F16+F24+F25+F36+F37+F39+F38</f>
        <v>1</v>
      </c>
      <c r="G40" s="6"/>
    </row>
    <row r="42" spans="1:7" ht="13.5" thickBot="1" x14ac:dyDescent="0.25"/>
    <row r="43" spans="1:7" s="4" customFormat="1" ht="15" customHeight="1" thickBot="1" x14ac:dyDescent="0.25">
      <c r="A43" s="355" t="s">
        <v>95</v>
      </c>
      <c r="B43" s="356"/>
      <c r="C43" s="356"/>
      <c r="D43" s="356"/>
      <c r="E43" s="357"/>
      <c r="F43" s="10"/>
      <c r="G43" s="6"/>
    </row>
    <row r="44" spans="1:7" s="4" customFormat="1" ht="15" customHeight="1" thickBot="1" x14ac:dyDescent="0.25">
      <c r="A44" s="352" t="s">
        <v>37</v>
      </c>
      <c r="B44" s="353"/>
      <c r="C44" s="353"/>
      <c r="D44" s="354"/>
      <c r="E44" s="48" t="s">
        <v>38</v>
      </c>
      <c r="F44" s="10"/>
      <c r="G44" s="6"/>
    </row>
    <row r="45" spans="1:7" s="4" customFormat="1" ht="15" customHeight="1" x14ac:dyDescent="0.2">
      <c r="A45" s="73" t="str">
        <f>+A59</f>
        <v>1.1. Coletor Turno Dia</v>
      </c>
      <c r="B45" s="74"/>
      <c r="C45" s="74"/>
      <c r="D45" s="75"/>
      <c r="E45" s="76">
        <f>C69</f>
        <v>2</v>
      </c>
      <c r="F45" s="10"/>
      <c r="G45" s="6"/>
    </row>
    <row r="46" spans="1:7" s="4" customFormat="1" ht="15" customHeight="1" x14ac:dyDescent="0.2">
      <c r="A46" s="67" t="str">
        <f>+A72</f>
        <v>1.2. Coletor Turno Noite</v>
      </c>
      <c r="B46" s="66"/>
      <c r="C46" s="66"/>
      <c r="D46" s="77"/>
      <c r="E46" s="70">
        <f>C88</f>
        <v>0</v>
      </c>
      <c r="F46" s="10"/>
      <c r="G46" s="6"/>
    </row>
    <row r="47" spans="1:7" s="4" customFormat="1" ht="15" customHeight="1" x14ac:dyDescent="0.2">
      <c r="A47" s="67" t="str">
        <f>+A91</f>
        <v>1.3. Motorista Turno do Dia</v>
      </c>
      <c r="B47" s="66"/>
      <c r="C47" s="66"/>
      <c r="D47" s="77"/>
      <c r="E47" s="70">
        <f>C103</f>
        <v>1</v>
      </c>
      <c r="F47" s="10"/>
      <c r="G47" s="6"/>
    </row>
    <row r="48" spans="1:7" s="4" customFormat="1" ht="15" customHeight="1" x14ac:dyDescent="0.2">
      <c r="A48" s="67" t="str">
        <f>+A106</f>
        <v>1.4. Motorista Turno Noite</v>
      </c>
      <c r="B48" s="66"/>
      <c r="C48" s="66"/>
      <c r="D48" s="77"/>
      <c r="E48" s="70">
        <f>C124</f>
        <v>0</v>
      </c>
      <c r="F48" s="10"/>
      <c r="G48" s="6"/>
    </row>
    <row r="49" spans="1:7" s="4" customFormat="1" ht="15" customHeight="1" thickBot="1" x14ac:dyDescent="0.25">
      <c r="A49" s="71" t="s">
        <v>57</v>
      </c>
      <c r="B49" s="72"/>
      <c r="C49" s="72"/>
      <c r="D49" s="78"/>
      <c r="E49" s="79">
        <f>SUM(E45:E48)</f>
        <v>3</v>
      </c>
      <c r="F49" s="10"/>
      <c r="G49" s="6"/>
    </row>
    <row r="50" spans="1:7" s="4" customFormat="1" ht="15" customHeight="1" thickBot="1" x14ac:dyDescent="0.25">
      <c r="A50" s="130"/>
      <c r="B50" s="131"/>
      <c r="C50" s="59"/>
      <c r="D50" s="59"/>
      <c r="E50" s="132"/>
      <c r="F50" s="10"/>
      <c r="G50" s="6"/>
    </row>
    <row r="51" spans="1:7" s="4" customFormat="1" ht="15" customHeight="1" x14ac:dyDescent="0.2">
      <c r="A51" s="342" t="s">
        <v>54</v>
      </c>
      <c r="B51" s="343"/>
      <c r="C51" s="343"/>
      <c r="D51" s="343"/>
      <c r="E51" s="48" t="s">
        <v>38</v>
      </c>
      <c r="F51" s="9"/>
      <c r="G51" s="6"/>
    </row>
    <row r="52" spans="1:7" s="4" customFormat="1" ht="15" customHeight="1" thickBot="1" x14ac:dyDescent="0.25">
      <c r="A52" s="133" t="str">
        <f>+A185</f>
        <v>3.1. Veículo Coletor Compactador 8 m³ (mínimo)</v>
      </c>
      <c r="B52" s="134"/>
      <c r="C52" s="134"/>
      <c r="D52" s="135"/>
      <c r="E52" s="136">
        <f>C200</f>
        <v>1</v>
      </c>
      <c r="F52" s="9"/>
      <c r="G52" s="6"/>
    </row>
    <row r="53" spans="1:7" s="4" customFormat="1" ht="15" customHeight="1" x14ac:dyDescent="0.2">
      <c r="A53" s="59"/>
      <c r="B53" s="59"/>
      <c r="C53" s="59"/>
      <c r="D53" s="54"/>
      <c r="E53" s="252"/>
      <c r="F53" s="9"/>
      <c r="G53" s="6"/>
    </row>
    <row r="54" spans="1:7" s="4" customFormat="1" ht="13.5" thickBot="1" x14ac:dyDescent="0.25">
      <c r="A54" s="59"/>
      <c r="B54" s="59"/>
      <c r="C54" s="59"/>
      <c r="D54" s="54"/>
      <c r="E54" s="68"/>
      <c r="F54" s="9"/>
      <c r="G54" s="6"/>
    </row>
    <row r="55" spans="1:7" s="11" customFormat="1" ht="15.75" customHeight="1" thickBot="1" x14ac:dyDescent="0.25">
      <c r="A55" s="257" t="s">
        <v>197</v>
      </c>
      <c r="B55" s="331">
        <v>0.57269999999999999</v>
      </c>
      <c r="C55" s="35"/>
      <c r="D55" s="34"/>
      <c r="E55" s="157"/>
      <c r="G55" s="44"/>
    </row>
    <row r="56" spans="1:7" s="4" customFormat="1" ht="15.75" customHeight="1" x14ac:dyDescent="0.2">
      <c r="A56" s="59"/>
      <c r="B56" s="59"/>
      <c r="C56" s="59"/>
      <c r="D56" s="54"/>
      <c r="E56" s="68"/>
      <c r="F56" s="9"/>
      <c r="G56" s="6"/>
    </row>
    <row r="57" spans="1:7" ht="13.15" customHeight="1" x14ac:dyDescent="0.2">
      <c r="A57" s="11" t="s">
        <v>45</v>
      </c>
    </row>
    <row r="58" spans="1:7" ht="11.25" customHeight="1" x14ac:dyDescent="0.2"/>
    <row r="59" spans="1:7" ht="13.9" customHeight="1" thickBot="1" x14ac:dyDescent="0.25">
      <c r="A59" s="9" t="s">
        <v>98</v>
      </c>
    </row>
    <row r="60" spans="1:7" ht="13.9" customHeight="1" thickBot="1" x14ac:dyDescent="0.25">
      <c r="A60" s="60" t="s">
        <v>62</v>
      </c>
      <c r="B60" s="61" t="s">
        <v>63</v>
      </c>
      <c r="C60" s="61" t="s">
        <v>38</v>
      </c>
      <c r="D60" s="62" t="s">
        <v>231</v>
      </c>
      <c r="E60" s="62" t="s">
        <v>64</v>
      </c>
      <c r="F60" s="63" t="s">
        <v>65</v>
      </c>
    </row>
    <row r="61" spans="1:7" ht="13.15" customHeight="1" x14ac:dyDescent="0.2">
      <c r="A61" s="13" t="s">
        <v>211</v>
      </c>
      <c r="B61" s="14" t="s">
        <v>8</v>
      </c>
      <c r="C61" s="14">
        <v>1</v>
      </c>
      <c r="D61" s="87">
        <v>1278.2</v>
      </c>
      <c r="E61" s="15">
        <f>C61*D61</f>
        <v>1278.2</v>
      </c>
    </row>
    <row r="62" spans="1:7" x14ac:dyDescent="0.2">
      <c r="A62" s="16" t="s">
        <v>32</v>
      </c>
      <c r="B62" s="17" t="s">
        <v>0</v>
      </c>
      <c r="C62" s="88"/>
      <c r="D62" s="18">
        <f>D61/220*2</f>
        <v>11.620000000000001</v>
      </c>
      <c r="E62" s="18">
        <f>C62*D62</f>
        <v>0</v>
      </c>
    </row>
    <row r="63" spans="1:7" ht="13.15" customHeight="1" x14ac:dyDescent="0.2">
      <c r="A63" s="16" t="s">
        <v>33</v>
      </c>
      <c r="B63" s="17" t="s">
        <v>0</v>
      </c>
      <c r="C63" s="88"/>
      <c r="D63" s="18">
        <f>D61/220*1.5</f>
        <v>8.7149999999999999</v>
      </c>
      <c r="E63" s="18">
        <f>C63*D63</f>
        <v>0</v>
      </c>
    </row>
    <row r="64" spans="1:7" ht="13.15" customHeight="1" x14ac:dyDescent="0.2">
      <c r="A64" s="16" t="s">
        <v>214</v>
      </c>
      <c r="B64" s="17" t="s">
        <v>31</v>
      </c>
      <c r="D64" s="18">
        <f>63/302*(SUM(E62:E63))</f>
        <v>0</v>
      </c>
      <c r="E64" s="18">
        <f>D64</f>
        <v>0</v>
      </c>
    </row>
    <row r="65" spans="1:7" x14ac:dyDescent="0.2">
      <c r="A65" s="16" t="s">
        <v>1</v>
      </c>
      <c r="B65" s="17" t="s">
        <v>2</v>
      </c>
      <c r="C65" s="17">
        <v>40</v>
      </c>
      <c r="D65" s="83">
        <f>SUM(E61:E64)</f>
        <v>1278.2</v>
      </c>
      <c r="E65" s="18">
        <f>C65*D65/100</f>
        <v>511.28</v>
      </c>
    </row>
    <row r="66" spans="1:7" x14ac:dyDescent="0.2">
      <c r="A66" s="117" t="s">
        <v>3</v>
      </c>
      <c r="B66" s="118"/>
      <c r="C66" s="118"/>
      <c r="D66" s="119"/>
      <c r="E66" s="120">
        <f>SUM(E61:E65)</f>
        <v>1789.48</v>
      </c>
    </row>
    <row r="67" spans="1:7" x14ac:dyDescent="0.2">
      <c r="A67" s="16" t="s">
        <v>4</v>
      </c>
      <c r="B67" s="17" t="s">
        <v>2</v>
      </c>
      <c r="C67" s="142">
        <f>'2.Encargos Sociais'!$C$37*100</f>
        <v>72.231660000000005</v>
      </c>
      <c r="D67" s="18">
        <f>E66</f>
        <v>1789.48</v>
      </c>
      <c r="E67" s="18">
        <f>D67*C67/100</f>
        <v>1292.571109368</v>
      </c>
    </row>
    <row r="68" spans="1:7" x14ac:dyDescent="0.2">
      <c r="A68" s="117" t="s">
        <v>71</v>
      </c>
      <c r="B68" s="118"/>
      <c r="C68" s="118"/>
      <c r="D68" s="119"/>
      <c r="E68" s="120">
        <f>E66+E67</f>
        <v>3082.0511093679997</v>
      </c>
    </row>
    <row r="69" spans="1:7" ht="13.5" thickBot="1" x14ac:dyDescent="0.25">
      <c r="A69" s="16" t="s">
        <v>5</v>
      </c>
      <c r="B69" s="17" t="s">
        <v>6</v>
      </c>
      <c r="C69" s="86">
        <v>2</v>
      </c>
      <c r="D69" s="18">
        <f>E68</f>
        <v>3082.0511093679997</v>
      </c>
      <c r="E69" s="18">
        <f>C69*D69</f>
        <v>6164.1022187359995</v>
      </c>
      <c r="G69" s="6"/>
    </row>
    <row r="70" spans="1:7" ht="13.9" customHeight="1" thickBot="1" x14ac:dyDescent="0.25">
      <c r="D70" s="124" t="s">
        <v>196</v>
      </c>
      <c r="E70" s="50">
        <f>$B$55</f>
        <v>0.57269999999999999</v>
      </c>
      <c r="F70" s="125">
        <f>E69*E70</f>
        <v>3530.1813406701067</v>
      </c>
      <c r="G70" s="6"/>
    </row>
    <row r="71" spans="1:7" ht="11.25" customHeight="1" x14ac:dyDescent="0.2"/>
    <row r="72" spans="1:7" ht="13.5" thickBot="1" x14ac:dyDescent="0.25">
      <c r="A72" s="9" t="s">
        <v>89</v>
      </c>
    </row>
    <row r="73" spans="1:7" ht="13.5" thickBot="1" x14ac:dyDescent="0.25">
      <c r="A73" s="60" t="s">
        <v>62</v>
      </c>
      <c r="B73" s="61" t="s">
        <v>63</v>
      </c>
      <c r="C73" s="61" t="s">
        <v>38</v>
      </c>
      <c r="D73" s="62" t="s">
        <v>231</v>
      </c>
      <c r="E73" s="62" t="s">
        <v>64</v>
      </c>
      <c r="F73" s="63" t="s">
        <v>65</v>
      </c>
    </row>
    <row r="74" spans="1:7" x14ac:dyDescent="0.2">
      <c r="A74" s="13" t="s">
        <v>211</v>
      </c>
      <c r="B74" s="14" t="s">
        <v>8</v>
      </c>
      <c r="C74" s="14">
        <v>1</v>
      </c>
      <c r="D74" s="15">
        <f>D61</f>
        <v>1278.2</v>
      </c>
      <c r="E74" s="15">
        <f>C74*D74</f>
        <v>1278.2</v>
      </c>
    </row>
    <row r="75" spans="1:7" x14ac:dyDescent="0.2">
      <c r="A75" s="16" t="s">
        <v>7</v>
      </c>
      <c r="B75" s="17" t="s">
        <v>96</v>
      </c>
      <c r="C75" s="88"/>
      <c r="D75" s="18"/>
      <c r="E75" s="18"/>
    </row>
    <row r="76" spans="1:7" x14ac:dyDescent="0.2">
      <c r="A76" s="16"/>
      <c r="B76" s="17" t="s">
        <v>101</v>
      </c>
      <c r="C76" s="121">
        <f>C75*8/7</f>
        <v>0</v>
      </c>
      <c r="D76" s="18">
        <f>D74/220*0.2</f>
        <v>1.1620000000000001</v>
      </c>
      <c r="E76" s="18">
        <f>C75*D76</f>
        <v>0</v>
      </c>
    </row>
    <row r="77" spans="1:7" x14ac:dyDescent="0.2">
      <c r="A77" s="16" t="s">
        <v>32</v>
      </c>
      <c r="B77" s="17" t="s">
        <v>0</v>
      </c>
      <c r="C77" s="88"/>
      <c r="D77" s="18">
        <f>D74/220*2</f>
        <v>11.620000000000001</v>
      </c>
      <c r="E77" s="18">
        <f>C77*D77</f>
        <v>0</v>
      </c>
    </row>
    <row r="78" spans="1:7" x14ac:dyDescent="0.2">
      <c r="A78" s="16" t="s">
        <v>97</v>
      </c>
      <c r="B78" s="17" t="s">
        <v>96</v>
      </c>
      <c r="C78" s="88"/>
      <c r="D78" s="18"/>
      <c r="E78" s="18"/>
    </row>
    <row r="79" spans="1:7" x14ac:dyDescent="0.2">
      <c r="A79" s="16"/>
      <c r="B79" s="17" t="s">
        <v>101</v>
      </c>
      <c r="C79" s="121">
        <f>C78*8/7</f>
        <v>0</v>
      </c>
      <c r="D79" s="18">
        <f>D74/220*2*1.2</f>
        <v>13.944000000000001</v>
      </c>
      <c r="E79" s="18">
        <f>C79*D79</f>
        <v>0</v>
      </c>
    </row>
    <row r="80" spans="1:7" x14ac:dyDescent="0.2">
      <c r="A80" s="16" t="s">
        <v>33</v>
      </c>
      <c r="B80" s="17" t="s">
        <v>0</v>
      </c>
      <c r="C80" s="88"/>
      <c r="D80" s="18">
        <f>D74/220*1.5</f>
        <v>8.7149999999999999</v>
      </c>
      <c r="E80" s="18">
        <f>C80*D80</f>
        <v>0</v>
      </c>
    </row>
    <row r="81" spans="1:7" x14ac:dyDescent="0.2">
      <c r="A81" s="16" t="s">
        <v>213</v>
      </c>
      <c r="B81" s="17" t="s">
        <v>96</v>
      </c>
      <c r="C81" s="88"/>
      <c r="D81" s="18"/>
      <c r="E81" s="18"/>
    </row>
    <row r="82" spans="1:7" x14ac:dyDescent="0.2">
      <c r="A82" s="16"/>
      <c r="B82" s="17" t="s">
        <v>101</v>
      </c>
      <c r="C82" s="18">
        <f>C81*8/7</f>
        <v>0</v>
      </c>
      <c r="D82" s="18">
        <f>D74/220*1.5*1.2</f>
        <v>10.458</v>
      </c>
      <c r="E82" s="18">
        <f>C82*D82</f>
        <v>0</v>
      </c>
    </row>
    <row r="83" spans="1:7" ht="13.15" customHeight="1" x14ac:dyDescent="0.2">
      <c r="A83" s="16" t="s">
        <v>214</v>
      </c>
      <c r="B83" s="17" t="s">
        <v>31</v>
      </c>
      <c r="D83" s="18">
        <f>63/302*(SUM(E77:E82))</f>
        <v>0</v>
      </c>
      <c r="E83" s="18">
        <f>D83</f>
        <v>0</v>
      </c>
    </row>
    <row r="84" spans="1:7" x14ac:dyDescent="0.2">
      <c r="A84" s="16" t="s">
        <v>1</v>
      </c>
      <c r="B84" s="17" t="s">
        <v>2</v>
      </c>
      <c r="C84" s="17">
        <f>+C65</f>
        <v>40</v>
      </c>
      <c r="D84" s="83">
        <f>SUM(E74:E83)</f>
        <v>1278.2</v>
      </c>
      <c r="E84" s="18">
        <f>C84*D84/100</f>
        <v>511.28</v>
      </c>
    </row>
    <row r="85" spans="1:7" x14ac:dyDescent="0.2">
      <c r="A85" s="117" t="s">
        <v>3</v>
      </c>
      <c r="B85" s="118"/>
      <c r="C85" s="118"/>
      <c r="D85" s="119"/>
      <c r="E85" s="120">
        <f>SUM(E74:E84)</f>
        <v>1789.48</v>
      </c>
    </row>
    <row r="86" spans="1:7" x14ac:dyDescent="0.2">
      <c r="A86" s="16" t="s">
        <v>4</v>
      </c>
      <c r="B86" s="17" t="s">
        <v>2</v>
      </c>
      <c r="C86" s="142">
        <f>'2.Encargos Sociais'!$C$37*100</f>
        <v>72.231660000000005</v>
      </c>
      <c r="D86" s="18">
        <f>E85</f>
        <v>1789.48</v>
      </c>
      <c r="E86" s="18">
        <f>D86*C86/100</f>
        <v>1292.571109368</v>
      </c>
    </row>
    <row r="87" spans="1:7" x14ac:dyDescent="0.2">
      <c r="A87" s="117" t="s">
        <v>71</v>
      </c>
      <c r="B87" s="118"/>
      <c r="C87" s="118"/>
      <c r="D87" s="119"/>
      <c r="E87" s="120">
        <f>E85+E86</f>
        <v>3082.0511093679997</v>
      </c>
    </row>
    <row r="88" spans="1:7" ht="13.5" thickBot="1" x14ac:dyDescent="0.25">
      <c r="A88" s="16" t="s">
        <v>5</v>
      </c>
      <c r="B88" s="17" t="s">
        <v>6</v>
      </c>
      <c r="C88" s="86"/>
      <c r="D88" s="18">
        <f>E87</f>
        <v>3082.0511093679997</v>
      </c>
      <c r="E88" s="18">
        <f>C88*D88</f>
        <v>0</v>
      </c>
    </row>
    <row r="89" spans="1:7" ht="13.5" thickBot="1" x14ac:dyDescent="0.25">
      <c r="D89" s="124" t="s">
        <v>196</v>
      </c>
      <c r="E89" s="50">
        <f>$B$55</f>
        <v>0.57269999999999999</v>
      </c>
      <c r="F89" s="125">
        <f>E88*E89</f>
        <v>0</v>
      </c>
    </row>
    <row r="90" spans="1:7" ht="11.25" customHeight="1" x14ac:dyDescent="0.2"/>
    <row r="91" spans="1:7" ht="13.5" thickBot="1" x14ac:dyDescent="0.25">
      <c r="A91" s="9" t="s">
        <v>99</v>
      </c>
    </row>
    <row r="92" spans="1:7" s="12" customFormat="1" ht="13.15" customHeight="1" thickBot="1" x14ac:dyDescent="0.25">
      <c r="A92" s="60" t="s">
        <v>62</v>
      </c>
      <c r="B92" s="61" t="s">
        <v>63</v>
      </c>
      <c r="C92" s="61" t="s">
        <v>38</v>
      </c>
      <c r="D92" s="62" t="s">
        <v>231</v>
      </c>
      <c r="E92" s="62" t="s">
        <v>64</v>
      </c>
      <c r="F92" s="63" t="s">
        <v>65</v>
      </c>
      <c r="G92" s="10"/>
    </row>
    <row r="93" spans="1:7" x14ac:dyDescent="0.2">
      <c r="A93" s="303" t="s">
        <v>273</v>
      </c>
      <c r="B93" s="14" t="s">
        <v>8</v>
      </c>
      <c r="C93" s="14">
        <v>1</v>
      </c>
      <c r="D93" s="87">
        <v>1840.29</v>
      </c>
      <c r="E93" s="15">
        <f>C93*D93</f>
        <v>1840.29</v>
      </c>
    </row>
    <row r="94" spans="1:7" x14ac:dyDescent="0.2">
      <c r="A94" s="303" t="s">
        <v>274</v>
      </c>
      <c r="B94" s="14" t="s">
        <v>8</v>
      </c>
      <c r="C94" s="14">
        <v>1</v>
      </c>
      <c r="D94" s="87">
        <v>998</v>
      </c>
      <c r="E94" s="15"/>
    </row>
    <row r="95" spans="1:7" x14ac:dyDescent="0.2">
      <c r="A95" s="16" t="s">
        <v>32</v>
      </c>
      <c r="B95" s="17" t="s">
        <v>0</v>
      </c>
      <c r="C95" s="88"/>
      <c r="D95" s="18">
        <f>D93/220*2</f>
        <v>16.729909090909089</v>
      </c>
      <c r="E95" s="18">
        <f>C95*D95</f>
        <v>0</v>
      </c>
    </row>
    <row r="96" spans="1:7" x14ac:dyDescent="0.2">
      <c r="A96" s="16" t="s">
        <v>33</v>
      </c>
      <c r="B96" s="17" t="s">
        <v>0</v>
      </c>
      <c r="C96" s="88"/>
      <c r="D96" s="18">
        <f>D93/220*1.5</f>
        <v>12.547431818181817</v>
      </c>
      <c r="E96" s="18">
        <f>C96*D96</f>
        <v>0</v>
      </c>
    </row>
    <row r="97" spans="1:7" ht="13.15" customHeight="1" x14ac:dyDescent="0.2">
      <c r="A97" s="16" t="s">
        <v>214</v>
      </c>
      <c r="B97" s="17" t="s">
        <v>31</v>
      </c>
      <c r="D97" s="18">
        <f>63/302*(SUM(E95:E96))</f>
        <v>0</v>
      </c>
      <c r="E97" s="18">
        <f>D97</f>
        <v>0</v>
      </c>
    </row>
    <row r="98" spans="1:7" x14ac:dyDescent="0.2">
      <c r="A98" s="16" t="s">
        <v>212</v>
      </c>
      <c r="B98" s="17"/>
      <c r="C98" s="90">
        <v>2</v>
      </c>
      <c r="D98" s="18"/>
      <c r="E98" s="18"/>
    </row>
    <row r="99" spans="1:7" x14ac:dyDescent="0.2">
      <c r="A99" s="16" t="s">
        <v>1</v>
      </c>
      <c r="B99" s="17" t="s">
        <v>2</v>
      </c>
      <c r="C99" s="86">
        <v>40</v>
      </c>
      <c r="D99" s="83">
        <f>IF(C98=2,SUM(E93:E97),IF(C98=1,(SUM(E93:E97))*D94/D93,0))</f>
        <v>1840.29</v>
      </c>
      <c r="E99" s="18">
        <f>C99*D99/100</f>
        <v>736.1160000000001</v>
      </c>
    </row>
    <row r="100" spans="1:7" s="11" customFormat="1" x14ac:dyDescent="0.2">
      <c r="A100" s="103" t="s">
        <v>3</v>
      </c>
      <c r="B100" s="118"/>
      <c r="C100" s="118"/>
      <c r="D100" s="119"/>
      <c r="E100" s="105">
        <f>SUM(E93:E99)</f>
        <v>2576.4059999999999</v>
      </c>
      <c r="F100" s="44"/>
      <c r="G100" s="44"/>
    </row>
    <row r="101" spans="1:7" x14ac:dyDescent="0.2">
      <c r="A101" s="16" t="s">
        <v>4</v>
      </c>
      <c r="B101" s="17" t="s">
        <v>2</v>
      </c>
      <c r="C101" s="142">
        <f>'2.Encargos Sociais'!$C$37*100</f>
        <v>72.231660000000005</v>
      </c>
      <c r="D101" s="18">
        <f>E100</f>
        <v>2576.4059999999999</v>
      </c>
      <c r="E101" s="18">
        <f>D101*C101/100</f>
        <v>1860.9808221396001</v>
      </c>
    </row>
    <row r="102" spans="1:7" s="11" customFormat="1" x14ac:dyDescent="0.2">
      <c r="A102" s="103" t="s">
        <v>242</v>
      </c>
      <c r="B102" s="263"/>
      <c r="C102" s="263"/>
      <c r="D102" s="264"/>
      <c r="E102" s="105">
        <f>E100+E101</f>
        <v>4437.3868221396006</v>
      </c>
      <c r="F102" s="44"/>
      <c r="G102" s="44"/>
    </row>
    <row r="103" spans="1:7" ht="13.5" thickBot="1" x14ac:dyDescent="0.25">
      <c r="A103" s="16" t="s">
        <v>5</v>
      </c>
      <c r="B103" s="17" t="s">
        <v>6</v>
      </c>
      <c r="C103" s="86">
        <v>1</v>
      </c>
      <c r="D103" s="18">
        <f>E102</f>
        <v>4437.3868221396006</v>
      </c>
      <c r="E103" s="18">
        <f>C103*D103</f>
        <v>4437.3868221396006</v>
      </c>
    </row>
    <row r="104" spans="1:7" ht="13.5" thickBot="1" x14ac:dyDescent="0.25">
      <c r="D104" s="124" t="s">
        <v>196</v>
      </c>
      <c r="E104" s="50">
        <f>$B$55</f>
        <v>0.57269999999999999</v>
      </c>
      <c r="F104" s="125">
        <f>E103*E104</f>
        <v>2541.2914330393492</v>
      </c>
    </row>
    <row r="105" spans="1:7" ht="11.25" customHeight="1" x14ac:dyDescent="0.2"/>
    <row r="106" spans="1:7" ht="13.5" thickBot="1" x14ac:dyDescent="0.25">
      <c r="A106" s="9" t="s">
        <v>100</v>
      </c>
    </row>
    <row r="107" spans="1:7" ht="13.5" thickBot="1" x14ac:dyDescent="0.25">
      <c r="A107" s="60" t="s">
        <v>62</v>
      </c>
      <c r="B107" s="61" t="s">
        <v>63</v>
      </c>
      <c r="C107" s="61" t="s">
        <v>38</v>
      </c>
      <c r="D107" s="62" t="s">
        <v>231</v>
      </c>
      <c r="E107" s="62" t="s">
        <v>64</v>
      </c>
      <c r="F107" s="63" t="s">
        <v>65</v>
      </c>
    </row>
    <row r="108" spans="1:7" x14ac:dyDescent="0.2">
      <c r="A108" s="303" t="s">
        <v>273</v>
      </c>
      <c r="B108" s="14" t="s">
        <v>8</v>
      </c>
      <c r="C108" s="14">
        <v>1</v>
      </c>
      <c r="D108" s="15">
        <f>D93</f>
        <v>1840.29</v>
      </c>
      <c r="E108" s="15">
        <f>C108*D108</f>
        <v>1840.29</v>
      </c>
    </row>
    <row r="109" spans="1:7" x14ac:dyDescent="0.2">
      <c r="A109" s="303" t="s">
        <v>274</v>
      </c>
      <c r="B109" s="14" t="s">
        <v>8</v>
      </c>
      <c r="C109" s="14">
        <v>1</v>
      </c>
      <c r="D109" s="18">
        <f>D94</f>
        <v>998</v>
      </c>
      <c r="E109" s="18"/>
    </row>
    <row r="110" spans="1:7" x14ac:dyDescent="0.2">
      <c r="A110" s="16" t="s">
        <v>7</v>
      </c>
      <c r="B110" s="17" t="s">
        <v>96</v>
      </c>
      <c r="C110" s="88"/>
      <c r="D110" s="16"/>
      <c r="E110" s="16"/>
    </row>
    <row r="111" spans="1:7" x14ac:dyDescent="0.2">
      <c r="A111" s="16"/>
      <c r="B111" s="17" t="s">
        <v>101</v>
      </c>
      <c r="C111" s="18">
        <f>C110*8/7</f>
        <v>0</v>
      </c>
      <c r="D111" s="18">
        <f>D108/220*0.2</f>
        <v>1.672990909090909</v>
      </c>
      <c r="E111" s="18">
        <f>C110*D111</f>
        <v>0</v>
      </c>
    </row>
    <row r="112" spans="1:7" x14ac:dyDescent="0.2">
      <c r="A112" s="16" t="s">
        <v>32</v>
      </c>
      <c r="B112" s="17" t="s">
        <v>0</v>
      </c>
      <c r="C112" s="88"/>
      <c r="D112" s="18">
        <f>D108/220*2</f>
        <v>16.729909090909089</v>
      </c>
      <c r="E112" s="18">
        <f>C112*D112</f>
        <v>0</v>
      </c>
    </row>
    <row r="113" spans="1:7" x14ac:dyDescent="0.2">
      <c r="A113" s="16" t="s">
        <v>97</v>
      </c>
      <c r="B113" s="17" t="s">
        <v>96</v>
      </c>
      <c r="C113" s="88"/>
      <c r="D113" s="18"/>
      <c r="E113" s="18"/>
    </row>
    <row r="114" spans="1:7" x14ac:dyDescent="0.2">
      <c r="A114" s="16"/>
      <c r="B114" s="17" t="s">
        <v>101</v>
      </c>
      <c r="C114" s="18">
        <f>C113*8/7</f>
        <v>0</v>
      </c>
      <c r="D114" s="18">
        <f>D108/220*2*1.2</f>
        <v>20.075890909090905</v>
      </c>
      <c r="E114" s="18">
        <f>C114*D114</f>
        <v>0</v>
      </c>
    </row>
    <row r="115" spans="1:7" x14ac:dyDescent="0.2">
      <c r="A115" s="16" t="s">
        <v>33</v>
      </c>
      <c r="B115" s="17" t="s">
        <v>0</v>
      </c>
      <c r="C115" s="88"/>
      <c r="D115" s="18">
        <f>D108/220*1.5</f>
        <v>12.547431818181817</v>
      </c>
      <c r="E115" s="18">
        <f>C115*D115</f>
        <v>0</v>
      </c>
    </row>
    <row r="116" spans="1:7" x14ac:dyDescent="0.2">
      <c r="A116" s="16" t="s">
        <v>213</v>
      </c>
      <c r="B116" s="17" t="s">
        <v>96</v>
      </c>
      <c r="C116" s="88"/>
      <c r="D116" s="18"/>
      <c r="E116" s="18"/>
    </row>
    <row r="117" spans="1:7" x14ac:dyDescent="0.2">
      <c r="A117" s="16"/>
      <c r="B117" s="17" t="s">
        <v>101</v>
      </c>
      <c r="C117" s="18">
        <f>C116*8/7</f>
        <v>0</v>
      </c>
      <c r="D117" s="18">
        <f>D108/220*1.5*1.2</f>
        <v>15.05691818181818</v>
      </c>
      <c r="E117" s="18">
        <f>C117*D117</f>
        <v>0</v>
      </c>
    </row>
    <row r="118" spans="1:7" ht="13.15" customHeight="1" x14ac:dyDescent="0.2">
      <c r="A118" s="16" t="s">
        <v>214</v>
      </c>
      <c r="B118" s="17" t="s">
        <v>31</v>
      </c>
      <c r="D118" s="18">
        <f>63/302*(SUM(E112:E117))</f>
        <v>0</v>
      </c>
      <c r="E118" s="18">
        <f>D118</f>
        <v>0</v>
      </c>
    </row>
    <row r="119" spans="1:7" x14ac:dyDescent="0.2">
      <c r="A119" s="16" t="s">
        <v>212</v>
      </c>
      <c r="B119" s="17"/>
      <c r="C119" s="90"/>
      <c r="D119" s="18"/>
      <c r="E119" s="18"/>
    </row>
    <row r="120" spans="1:7" x14ac:dyDescent="0.2">
      <c r="A120" s="16" t="s">
        <v>1</v>
      </c>
      <c r="B120" s="17" t="s">
        <v>2</v>
      </c>
      <c r="C120" s="83">
        <f>+C99</f>
        <v>40</v>
      </c>
      <c r="D120" s="83">
        <f>IF(C119=2,SUM(E108:E118),IF(C119=1,SUM(E108:E118)*D109/D108,0))</f>
        <v>0</v>
      </c>
      <c r="E120" s="18">
        <f>C120*D120/100</f>
        <v>0</v>
      </c>
    </row>
    <row r="121" spans="1:7" s="11" customFormat="1" x14ac:dyDescent="0.2">
      <c r="A121" s="117" t="s">
        <v>3</v>
      </c>
      <c r="B121" s="118"/>
      <c r="C121" s="118"/>
      <c r="D121" s="119"/>
      <c r="E121" s="120">
        <f>SUM(E108:E120)</f>
        <v>1840.29</v>
      </c>
      <c r="F121" s="44"/>
      <c r="G121" s="44"/>
    </row>
    <row r="122" spans="1:7" x14ac:dyDescent="0.2">
      <c r="A122" s="16" t="s">
        <v>4</v>
      </c>
      <c r="B122" s="17" t="s">
        <v>2</v>
      </c>
      <c r="C122" s="142">
        <f>'2.Encargos Sociais'!$C$37*100</f>
        <v>72.231660000000005</v>
      </c>
      <c r="D122" s="18">
        <f>E121</f>
        <v>1840.29</v>
      </c>
      <c r="E122" s="18">
        <f>D122*C122/100</f>
        <v>1329.272015814</v>
      </c>
    </row>
    <row r="123" spans="1:7" s="11" customFormat="1" x14ac:dyDescent="0.2">
      <c r="A123" s="117" t="s">
        <v>242</v>
      </c>
      <c r="B123" s="118"/>
      <c r="C123" s="118"/>
      <c r="D123" s="119"/>
      <c r="E123" s="120">
        <f>E121+E122</f>
        <v>3169.562015814</v>
      </c>
      <c r="F123" s="44"/>
      <c r="G123" s="44"/>
    </row>
    <row r="124" spans="1:7" ht="13.5" thickBot="1" x14ac:dyDescent="0.25">
      <c r="A124" s="16" t="s">
        <v>5</v>
      </c>
      <c r="B124" s="17" t="s">
        <v>6</v>
      </c>
      <c r="C124" s="86"/>
      <c r="D124" s="18">
        <f>E123</f>
        <v>3169.562015814</v>
      </c>
      <c r="E124" s="18">
        <f>C124*D124</f>
        <v>0</v>
      </c>
    </row>
    <row r="125" spans="1:7" ht="13.5" thickBot="1" x14ac:dyDescent="0.25">
      <c r="D125" s="124" t="s">
        <v>196</v>
      </c>
      <c r="E125" s="50">
        <f>$B$55</f>
        <v>0.57269999999999999</v>
      </c>
      <c r="F125" s="125">
        <f>E124*E125</f>
        <v>0</v>
      </c>
    </row>
    <row r="126" spans="1:7" ht="11.25" customHeight="1" x14ac:dyDescent="0.2">
      <c r="G126" s="9"/>
    </row>
    <row r="127" spans="1:7" ht="13.5" thickBot="1" x14ac:dyDescent="0.25">
      <c r="A127" s="9" t="s">
        <v>102</v>
      </c>
      <c r="B127" s="93"/>
      <c r="D127" s="9"/>
      <c r="E127" s="9"/>
      <c r="G127" s="9"/>
    </row>
    <row r="128" spans="1:7" ht="13.5" thickBot="1" x14ac:dyDescent="0.25">
      <c r="A128" s="60" t="s">
        <v>62</v>
      </c>
      <c r="B128" s="61" t="s">
        <v>63</v>
      </c>
      <c r="C128" s="61" t="s">
        <v>38</v>
      </c>
      <c r="D128" s="62" t="s">
        <v>231</v>
      </c>
      <c r="E128" s="62" t="s">
        <v>64</v>
      </c>
      <c r="F128" s="63" t="s">
        <v>65</v>
      </c>
      <c r="G128" s="9"/>
    </row>
    <row r="129" spans="1:7" x14ac:dyDescent="0.2">
      <c r="A129" s="16" t="s">
        <v>90</v>
      </c>
      <c r="B129" s="17" t="s">
        <v>31</v>
      </c>
      <c r="C129" s="94">
        <v>1</v>
      </c>
      <c r="D129" s="92">
        <v>2</v>
      </c>
      <c r="E129" s="18"/>
      <c r="G129" s="9"/>
    </row>
    <row r="130" spans="1:7" x14ac:dyDescent="0.2">
      <c r="A130" s="16" t="s">
        <v>91</v>
      </c>
      <c r="B130" s="17" t="s">
        <v>92</v>
      </c>
      <c r="C130" s="91">
        <v>22</v>
      </c>
      <c r="D130" s="18"/>
      <c r="E130" s="18"/>
      <c r="G130" s="9"/>
    </row>
    <row r="131" spans="1:7" x14ac:dyDescent="0.2">
      <c r="A131" s="16" t="s">
        <v>72</v>
      </c>
      <c r="B131" s="17" t="s">
        <v>9</v>
      </c>
      <c r="C131" s="37">
        <f>$C$130*2*(C69+C88)</f>
        <v>88</v>
      </c>
      <c r="D131" s="15">
        <f>IFERROR((($C$130*2*$D$129)-(E61*0.06*C130/26))/($C$130*2),"-")</f>
        <v>0.52515384615384619</v>
      </c>
      <c r="E131" s="18">
        <f>IFERROR(C131*D131,"-")</f>
        <v>46.213538461538462</v>
      </c>
      <c r="G131" s="9"/>
    </row>
    <row r="132" spans="1:7" ht="13.5" thickBot="1" x14ac:dyDescent="0.25">
      <c r="A132" s="13" t="s">
        <v>42</v>
      </c>
      <c r="B132" s="14" t="s">
        <v>9</v>
      </c>
      <c r="C132" s="37">
        <f>$C$130*2*(C103+C124)</f>
        <v>44</v>
      </c>
      <c r="D132" s="15">
        <f>IFERROR((($C$130*2*$D$129)-(E93*0.06*C130/26))/($C$130*2),"-")</f>
        <v>-0.12341153846153864</v>
      </c>
      <c r="E132" s="15">
        <f>IFERROR(C132*D132,"-")</f>
        <v>-5.4301076923077005</v>
      </c>
      <c r="G132" s="9"/>
    </row>
    <row r="133" spans="1:7" ht="13.5" thickBot="1" x14ac:dyDescent="0.25">
      <c r="F133" s="22">
        <f>SUM(E131:E132)</f>
        <v>40.783430769230762</v>
      </c>
      <c r="G133" s="9"/>
    </row>
    <row r="134" spans="1:7" ht="11.25" customHeight="1" x14ac:dyDescent="0.2">
      <c r="G134" s="9"/>
    </row>
    <row r="135" spans="1:7" ht="13.5" thickBot="1" x14ac:dyDescent="0.25">
      <c r="A135" s="9" t="s">
        <v>123</v>
      </c>
      <c r="F135" s="23"/>
      <c r="G135" s="9"/>
    </row>
    <row r="136" spans="1:7" ht="13.5" thickBot="1" x14ac:dyDescent="0.25">
      <c r="A136" s="60" t="s">
        <v>62</v>
      </c>
      <c r="B136" s="61" t="s">
        <v>63</v>
      </c>
      <c r="C136" s="61" t="s">
        <v>38</v>
      </c>
      <c r="D136" s="62" t="s">
        <v>231</v>
      </c>
      <c r="E136" s="62" t="s">
        <v>64</v>
      </c>
      <c r="F136" s="63" t="s">
        <v>65</v>
      </c>
      <c r="G136" s="9"/>
    </row>
    <row r="137" spans="1:7" x14ac:dyDescent="0.2">
      <c r="A137" s="16" t="str">
        <f>+A131</f>
        <v>Coletor</v>
      </c>
      <c r="B137" s="17" t="s">
        <v>10</v>
      </c>
      <c r="C137" s="102">
        <f>C130*(E45+E46)</f>
        <v>44</v>
      </c>
      <c r="D137" s="95">
        <v>13.55</v>
      </c>
      <c r="E137" s="50">
        <f>C137*D137</f>
        <v>596.20000000000005</v>
      </c>
      <c r="F137" s="23"/>
      <c r="G137" s="9"/>
    </row>
    <row r="138" spans="1:7" ht="13.5" thickBot="1" x14ac:dyDescent="0.25">
      <c r="A138" s="16" t="str">
        <f>+A132</f>
        <v>Motorista</v>
      </c>
      <c r="B138" s="17" t="s">
        <v>10</v>
      </c>
      <c r="C138" s="102">
        <f>C130*(E47+E48)</f>
        <v>22</v>
      </c>
      <c r="D138" s="95">
        <v>8.91</v>
      </c>
      <c r="E138" s="50">
        <f>C138*D138</f>
        <v>196.02</v>
      </c>
      <c r="F138" s="23"/>
      <c r="G138" s="9"/>
    </row>
    <row r="139" spans="1:7" ht="13.5" thickBot="1" x14ac:dyDescent="0.25">
      <c r="F139" s="22">
        <f>SUM(E137:E138)</f>
        <v>792.22</v>
      </c>
      <c r="G139" s="9"/>
    </row>
    <row r="140" spans="1:7" x14ac:dyDescent="0.2">
      <c r="G140" s="9"/>
    </row>
    <row r="141" spans="1:7" ht="13.5" thickBot="1" x14ac:dyDescent="0.25">
      <c r="A141" s="9" t="s">
        <v>124</v>
      </c>
      <c r="F141" s="23"/>
      <c r="G141" s="9"/>
    </row>
    <row r="142" spans="1:7" ht="13.5" thickBot="1" x14ac:dyDescent="0.25">
      <c r="A142" s="60" t="s">
        <v>62</v>
      </c>
      <c r="B142" s="61" t="s">
        <v>63</v>
      </c>
      <c r="C142" s="61" t="s">
        <v>38</v>
      </c>
      <c r="D142" s="62" t="s">
        <v>231</v>
      </c>
      <c r="E142" s="62" t="s">
        <v>64</v>
      </c>
      <c r="F142" s="63" t="s">
        <v>65</v>
      </c>
      <c r="G142" s="9"/>
    </row>
    <row r="143" spans="1:7" x14ac:dyDescent="0.2">
      <c r="A143" s="16" t="str">
        <f>+A137</f>
        <v>Coletor</v>
      </c>
      <c r="B143" s="17" t="s">
        <v>10</v>
      </c>
      <c r="C143" s="102">
        <f>E45+E46</f>
        <v>2</v>
      </c>
      <c r="D143" s="95"/>
      <c r="E143" s="50">
        <f>C143*D143</f>
        <v>0</v>
      </c>
      <c r="F143" s="23"/>
      <c r="G143" s="9"/>
    </row>
    <row r="144" spans="1:7" ht="13.5" thickBot="1" x14ac:dyDescent="0.25">
      <c r="A144" s="16" t="str">
        <f>+A138</f>
        <v>Motorista</v>
      </c>
      <c r="B144" s="17" t="s">
        <v>10</v>
      </c>
      <c r="C144" s="102">
        <f>E47+E48</f>
        <v>1</v>
      </c>
      <c r="D144" s="95"/>
      <c r="E144" s="50">
        <f>C144*D144</f>
        <v>0</v>
      </c>
      <c r="F144" s="23"/>
      <c r="G144" s="9"/>
    </row>
    <row r="145" spans="1:7" ht="13.5" thickBot="1" x14ac:dyDescent="0.25">
      <c r="D145" s="124" t="s">
        <v>196</v>
      </c>
      <c r="E145" s="50">
        <f>$B$55</f>
        <v>0.57269999999999999</v>
      </c>
      <c r="F145" s="22">
        <f>SUM(E143:E144)*E145</f>
        <v>0</v>
      </c>
      <c r="G145" s="9"/>
    </row>
    <row r="146" spans="1:7" ht="13.5" thickBot="1" x14ac:dyDescent="0.25">
      <c r="G146" s="9"/>
    </row>
    <row r="147" spans="1:7" ht="13.5" thickBot="1" x14ac:dyDescent="0.25">
      <c r="A147" s="24" t="s">
        <v>93</v>
      </c>
      <c r="B147" s="25"/>
      <c r="C147" s="25"/>
      <c r="D147" s="26"/>
      <c r="E147" s="27"/>
      <c r="F147" s="22">
        <f>F145+F139+F133+F125+F104+F89+F70</f>
        <v>6904.4762044786867</v>
      </c>
      <c r="G147" s="9"/>
    </row>
    <row r="149" spans="1:7" x14ac:dyDescent="0.2">
      <c r="A149" s="11" t="s">
        <v>43</v>
      </c>
      <c r="G149" s="9"/>
    </row>
    <row r="150" spans="1:7" ht="11.25" customHeight="1" x14ac:dyDescent="0.2">
      <c r="G150" s="9"/>
    </row>
    <row r="151" spans="1:7" ht="13.9" customHeight="1" x14ac:dyDescent="0.2">
      <c r="A151" s="9" t="s">
        <v>198</v>
      </c>
      <c r="G151" s="9"/>
    </row>
    <row r="152" spans="1:7" ht="11.25" customHeight="1" thickBot="1" x14ac:dyDescent="0.25">
      <c r="G152" s="9"/>
    </row>
    <row r="153" spans="1:7" ht="27.75" customHeight="1" thickBot="1" x14ac:dyDescent="0.25">
      <c r="A153" s="60" t="s">
        <v>62</v>
      </c>
      <c r="B153" s="61" t="s">
        <v>63</v>
      </c>
      <c r="C153" s="265" t="s">
        <v>243</v>
      </c>
      <c r="D153" s="62" t="s">
        <v>231</v>
      </c>
      <c r="E153" s="62" t="s">
        <v>64</v>
      </c>
      <c r="F153" s="63" t="s">
        <v>65</v>
      </c>
      <c r="G153" s="9"/>
    </row>
    <row r="154" spans="1:7" x14ac:dyDescent="0.2">
      <c r="A154" s="13" t="s">
        <v>66</v>
      </c>
      <c r="B154" s="14" t="s">
        <v>10</v>
      </c>
      <c r="C154" s="101">
        <v>12</v>
      </c>
      <c r="D154" s="87">
        <v>90</v>
      </c>
      <c r="E154" s="15">
        <f>IFERROR(D154/C154,0)</f>
        <v>7.5</v>
      </c>
      <c r="G154" s="9"/>
    </row>
    <row r="155" spans="1:7" ht="13.15" customHeight="1" x14ac:dyDescent="0.2">
      <c r="A155" s="16" t="s">
        <v>27</v>
      </c>
      <c r="B155" s="17" t="s">
        <v>10</v>
      </c>
      <c r="C155" s="101">
        <v>12</v>
      </c>
      <c r="D155" s="87">
        <v>47.5</v>
      </c>
      <c r="E155" s="15">
        <f t="shared" ref="E155:E163" si="1">IFERROR(D155/C155,0)</f>
        <v>3.9583333333333335</v>
      </c>
      <c r="G155" s="9"/>
    </row>
    <row r="156" spans="1:7" x14ac:dyDescent="0.2">
      <c r="A156" s="16" t="s">
        <v>28</v>
      </c>
      <c r="B156" s="17" t="s">
        <v>10</v>
      </c>
      <c r="C156" s="101">
        <v>12</v>
      </c>
      <c r="D156" s="87">
        <v>39</v>
      </c>
      <c r="E156" s="15">
        <f t="shared" si="1"/>
        <v>3.25</v>
      </c>
      <c r="G156" s="9"/>
    </row>
    <row r="157" spans="1:7" ht="13.15" customHeight="1" x14ac:dyDescent="0.2">
      <c r="A157" s="16" t="s">
        <v>29</v>
      </c>
      <c r="B157" s="17" t="s">
        <v>10</v>
      </c>
      <c r="C157" s="101">
        <v>12</v>
      </c>
      <c r="D157" s="87">
        <v>20</v>
      </c>
      <c r="E157" s="15">
        <f t="shared" si="1"/>
        <v>1.6666666666666667</v>
      </c>
      <c r="G157" s="9"/>
    </row>
    <row r="158" spans="1:7" ht="13.9" customHeight="1" x14ac:dyDescent="0.2">
      <c r="A158" s="16" t="s">
        <v>68</v>
      </c>
      <c r="B158" s="17" t="s">
        <v>46</v>
      </c>
      <c r="C158" s="101">
        <v>12</v>
      </c>
      <c r="D158" s="87">
        <v>76.5</v>
      </c>
      <c r="E158" s="15">
        <f t="shared" si="1"/>
        <v>6.375</v>
      </c>
      <c r="G158" s="9"/>
    </row>
    <row r="159" spans="1:7" ht="13.15" customHeight="1" x14ac:dyDescent="0.2">
      <c r="A159" s="16" t="s">
        <v>94</v>
      </c>
      <c r="B159" s="17" t="s">
        <v>46</v>
      </c>
      <c r="C159" s="101">
        <v>12</v>
      </c>
      <c r="D159" s="87">
        <v>20</v>
      </c>
      <c r="E159" s="15">
        <f t="shared" si="1"/>
        <v>1.6666666666666667</v>
      </c>
    </row>
    <row r="160" spans="1:7" x14ac:dyDescent="0.2">
      <c r="A160" s="16" t="s">
        <v>67</v>
      </c>
      <c r="B160" s="17" t="s">
        <v>10</v>
      </c>
      <c r="C160" s="101">
        <v>12</v>
      </c>
      <c r="D160" s="87">
        <v>22.5</v>
      </c>
      <c r="E160" s="15">
        <f t="shared" si="1"/>
        <v>1.875</v>
      </c>
    </row>
    <row r="161" spans="1:7" s="1" customFormat="1" x14ac:dyDescent="0.2">
      <c r="A161" s="2" t="s">
        <v>11</v>
      </c>
      <c r="B161" s="3" t="s">
        <v>10</v>
      </c>
      <c r="C161" s="101">
        <v>12</v>
      </c>
      <c r="D161" s="87">
        <v>33.75</v>
      </c>
      <c r="E161" s="15">
        <f t="shared" si="1"/>
        <v>2.8125</v>
      </c>
      <c r="F161" s="38"/>
      <c r="G161" s="38"/>
    </row>
    <row r="162" spans="1:7" x14ac:dyDescent="0.2">
      <c r="A162" s="16" t="s">
        <v>30</v>
      </c>
      <c r="B162" s="17" t="s">
        <v>46</v>
      </c>
      <c r="C162" s="101">
        <v>12</v>
      </c>
      <c r="D162" s="87">
        <v>10</v>
      </c>
      <c r="E162" s="15">
        <f t="shared" si="1"/>
        <v>0.83333333333333337</v>
      </c>
    </row>
    <row r="163" spans="1:7" ht="13.15" customHeight="1" x14ac:dyDescent="0.2">
      <c r="A163" s="16" t="s">
        <v>61</v>
      </c>
      <c r="B163" s="17" t="s">
        <v>47</v>
      </c>
      <c r="C163" s="101">
        <v>12</v>
      </c>
      <c r="D163" s="87">
        <v>19</v>
      </c>
      <c r="E163" s="15">
        <f t="shared" si="1"/>
        <v>1.5833333333333333</v>
      </c>
    </row>
    <row r="164" spans="1:7" x14ac:dyDescent="0.2">
      <c r="A164" s="16" t="s">
        <v>199</v>
      </c>
      <c r="B164" s="17" t="s">
        <v>125</v>
      </c>
      <c r="C164" s="122">
        <v>1</v>
      </c>
      <c r="D164" s="87">
        <v>75</v>
      </c>
      <c r="E164" s="18">
        <f t="shared" ref="E164:E165" si="2">C164*D164</f>
        <v>75</v>
      </c>
    </row>
    <row r="165" spans="1:7" ht="13.5" thickBot="1" x14ac:dyDescent="0.25">
      <c r="A165" s="16" t="s">
        <v>5</v>
      </c>
      <c r="B165" s="17" t="s">
        <v>6</v>
      </c>
      <c r="C165" s="69">
        <f>E45+E46</f>
        <v>2</v>
      </c>
      <c r="D165" s="18">
        <f>+SUM(E154:E164)</f>
        <v>106.52083333333333</v>
      </c>
      <c r="E165" s="18">
        <f t="shared" si="2"/>
        <v>213.04166666666666</v>
      </c>
    </row>
    <row r="166" spans="1:7" ht="13.5" thickBot="1" x14ac:dyDescent="0.25">
      <c r="D166" s="124" t="s">
        <v>196</v>
      </c>
      <c r="E166" s="50">
        <f>$B$55</f>
        <v>0.57269999999999999</v>
      </c>
      <c r="F166" s="125">
        <f>E165*E166</f>
        <v>122.0089625</v>
      </c>
    </row>
    <row r="167" spans="1:7" ht="11.25" customHeight="1" x14ac:dyDescent="0.2"/>
    <row r="168" spans="1:7" ht="13.9" customHeight="1" x14ac:dyDescent="0.2">
      <c r="A168" s="9" t="s">
        <v>200</v>
      </c>
    </row>
    <row r="169" spans="1:7" ht="11.25" customHeight="1" thickBot="1" x14ac:dyDescent="0.25"/>
    <row r="170" spans="1:7" ht="24.75" thickBot="1" x14ac:dyDescent="0.25">
      <c r="A170" s="60" t="s">
        <v>62</v>
      </c>
      <c r="B170" s="61" t="s">
        <v>63</v>
      </c>
      <c r="C170" s="265" t="s">
        <v>243</v>
      </c>
      <c r="D170" s="62" t="s">
        <v>231</v>
      </c>
      <c r="E170" s="62" t="s">
        <v>64</v>
      </c>
      <c r="F170" s="63" t="s">
        <v>65</v>
      </c>
    </row>
    <row r="171" spans="1:7" x14ac:dyDescent="0.2">
      <c r="A171" s="13" t="s">
        <v>66</v>
      </c>
      <c r="B171" s="14" t="s">
        <v>10</v>
      </c>
      <c r="C171" s="101">
        <v>12</v>
      </c>
      <c r="D171" s="15">
        <f>+D154</f>
        <v>90</v>
      </c>
      <c r="E171" s="15">
        <f>IFERROR(D171/C171,0)</f>
        <v>7.5</v>
      </c>
    </row>
    <row r="172" spans="1:7" x14ac:dyDescent="0.2">
      <c r="A172" s="16" t="s">
        <v>27</v>
      </c>
      <c r="B172" s="17" t="s">
        <v>10</v>
      </c>
      <c r="C172" s="101">
        <v>12</v>
      </c>
      <c r="D172" s="18">
        <f>+D155</f>
        <v>47.5</v>
      </c>
      <c r="E172" s="15">
        <f t="shared" ref="E172:E176" si="3">IFERROR(D172/C172,0)</f>
        <v>3.9583333333333335</v>
      </c>
    </row>
    <row r="173" spans="1:7" x14ac:dyDescent="0.2">
      <c r="A173" s="16" t="s">
        <v>28</v>
      </c>
      <c r="B173" s="17" t="s">
        <v>10</v>
      </c>
      <c r="C173" s="101">
        <v>12</v>
      </c>
      <c r="D173" s="18">
        <f>+D156</f>
        <v>39</v>
      </c>
      <c r="E173" s="15">
        <f t="shared" si="3"/>
        <v>3.25</v>
      </c>
    </row>
    <row r="174" spans="1:7" x14ac:dyDescent="0.2">
      <c r="A174" s="16" t="s">
        <v>68</v>
      </c>
      <c r="B174" s="17" t="s">
        <v>46</v>
      </c>
      <c r="C174" s="101">
        <v>12</v>
      </c>
      <c r="D174" s="18">
        <f>+D158</f>
        <v>76.5</v>
      </c>
      <c r="E174" s="15">
        <f t="shared" si="3"/>
        <v>6.375</v>
      </c>
    </row>
    <row r="175" spans="1:7" x14ac:dyDescent="0.2">
      <c r="A175" s="16" t="s">
        <v>67</v>
      </c>
      <c r="B175" s="17" t="s">
        <v>10</v>
      </c>
      <c r="C175" s="101">
        <v>12</v>
      </c>
      <c r="D175" s="18">
        <f>+D160</f>
        <v>22.5</v>
      </c>
      <c r="E175" s="15">
        <f t="shared" si="3"/>
        <v>1.875</v>
      </c>
      <c r="G175" s="9"/>
    </row>
    <row r="176" spans="1:7" x14ac:dyDescent="0.2">
      <c r="A176" s="16" t="s">
        <v>61</v>
      </c>
      <c r="B176" s="17" t="s">
        <v>47</v>
      </c>
      <c r="C176" s="101">
        <v>12</v>
      </c>
      <c r="D176" s="18">
        <f>+D163</f>
        <v>19</v>
      </c>
      <c r="E176" s="15">
        <f t="shared" si="3"/>
        <v>1.5833333333333333</v>
      </c>
      <c r="G176" s="9"/>
    </row>
    <row r="177" spans="1:10" x14ac:dyDescent="0.2">
      <c r="A177" s="16" t="s">
        <v>199</v>
      </c>
      <c r="B177" s="17" t="s">
        <v>125</v>
      </c>
      <c r="C177" s="122">
        <v>1</v>
      </c>
      <c r="D177" s="87">
        <v>75</v>
      </c>
      <c r="E177" s="18">
        <f t="shared" ref="E177:E178" si="4">C177*D177</f>
        <v>75</v>
      </c>
      <c r="G177" s="9"/>
    </row>
    <row r="178" spans="1:10" ht="13.5" thickBot="1" x14ac:dyDescent="0.25">
      <c r="A178" s="16" t="s">
        <v>5</v>
      </c>
      <c r="B178" s="17" t="s">
        <v>6</v>
      </c>
      <c r="C178" s="69">
        <f>E47+E48</f>
        <v>1</v>
      </c>
      <c r="D178" s="18">
        <f>+SUM(E171:E177)</f>
        <v>99.541666666666671</v>
      </c>
      <c r="E178" s="18">
        <f t="shared" si="4"/>
        <v>99.541666666666671</v>
      </c>
      <c r="G178" s="9"/>
    </row>
    <row r="179" spans="1:10" ht="13.5" thickBot="1" x14ac:dyDescent="0.25">
      <c r="D179" s="124" t="s">
        <v>196</v>
      </c>
      <c r="E179" s="50">
        <f>$B$55</f>
        <v>0.57269999999999999</v>
      </c>
      <c r="F179" s="125">
        <f>E178*E179</f>
        <v>57.007512500000004</v>
      </c>
      <c r="G179" s="9"/>
    </row>
    <row r="180" spans="1:10" ht="11.25" customHeight="1" thickBot="1" x14ac:dyDescent="0.25">
      <c r="G180" s="9"/>
    </row>
    <row r="181" spans="1:10" ht="13.5" thickBot="1" x14ac:dyDescent="0.25">
      <c r="A181" s="24" t="s">
        <v>201</v>
      </c>
      <c r="B181" s="28"/>
      <c r="C181" s="28"/>
      <c r="D181" s="29"/>
      <c r="E181" s="30"/>
      <c r="F181" s="21">
        <f>+F166+F179</f>
        <v>179.01647500000001</v>
      </c>
      <c r="G181" s="9"/>
    </row>
    <row r="182" spans="1:10" ht="11.25" customHeight="1" x14ac:dyDescent="0.2">
      <c r="G182" s="9"/>
    </row>
    <row r="183" spans="1:10" x14ac:dyDescent="0.2">
      <c r="A183" s="11" t="s">
        <v>52</v>
      </c>
      <c r="G183" s="9"/>
    </row>
    <row r="184" spans="1:10" ht="11.25" customHeight="1" x14ac:dyDescent="0.2">
      <c r="B184" s="107"/>
      <c r="G184" s="9"/>
    </row>
    <row r="185" spans="1:10" x14ac:dyDescent="0.2">
      <c r="A185" s="7" t="s">
        <v>296</v>
      </c>
      <c r="G185" s="9"/>
    </row>
    <row r="186" spans="1:10" ht="11.25" customHeight="1" x14ac:dyDescent="0.2">
      <c r="G186" s="9"/>
    </row>
    <row r="187" spans="1:10" ht="13.5" thickBot="1" x14ac:dyDescent="0.25">
      <c r="A187" s="107" t="s">
        <v>44</v>
      </c>
      <c r="G187" s="9"/>
    </row>
    <row r="188" spans="1:10" ht="13.5" thickBot="1" x14ac:dyDescent="0.25">
      <c r="A188" s="60" t="s">
        <v>62</v>
      </c>
      <c r="B188" s="61" t="s">
        <v>63</v>
      </c>
      <c r="C188" s="61" t="s">
        <v>38</v>
      </c>
      <c r="D188" s="62" t="s">
        <v>231</v>
      </c>
      <c r="E188" s="62" t="s">
        <v>64</v>
      </c>
      <c r="F188" s="63" t="s">
        <v>65</v>
      </c>
      <c r="G188" s="9"/>
    </row>
    <row r="189" spans="1:10" x14ac:dyDescent="0.2">
      <c r="A189" s="13" t="s">
        <v>109</v>
      </c>
      <c r="B189" s="14" t="s">
        <v>10</v>
      </c>
      <c r="C189" s="271">
        <v>1</v>
      </c>
      <c r="D189" s="87">
        <v>226000</v>
      </c>
      <c r="E189" s="15">
        <f>C189*D189</f>
        <v>226000</v>
      </c>
      <c r="G189" s="9"/>
    </row>
    <row r="190" spans="1:10" x14ac:dyDescent="0.2">
      <c r="A190" s="16" t="s">
        <v>103</v>
      </c>
      <c r="B190" s="17" t="s">
        <v>104</v>
      </c>
      <c r="C190" s="86">
        <v>10</v>
      </c>
      <c r="D190" s="83"/>
      <c r="E190" s="18"/>
      <c r="G190" s="9"/>
    </row>
    <row r="191" spans="1:10" x14ac:dyDescent="0.2">
      <c r="A191" s="16" t="s">
        <v>206</v>
      </c>
      <c r="B191" s="17" t="s">
        <v>104</v>
      </c>
      <c r="C191" s="86">
        <v>10</v>
      </c>
      <c r="D191" s="18"/>
      <c r="E191" s="18"/>
      <c r="F191" s="20"/>
      <c r="I191" s="85"/>
      <c r="J191" s="85"/>
    </row>
    <row r="192" spans="1:10" x14ac:dyDescent="0.2">
      <c r="A192" s="16" t="s">
        <v>107</v>
      </c>
      <c r="B192" s="17" t="s">
        <v>2</v>
      </c>
      <c r="C192" s="142">
        <f>IFERROR(VLOOKUP(C190,'5. Depreciação'!A3:B17,2,FALSE),0)</f>
        <v>65.180000000000007</v>
      </c>
      <c r="D192" s="18">
        <f>E189</f>
        <v>226000</v>
      </c>
      <c r="E192" s="18">
        <f>C192*D192/100</f>
        <v>147306.80000000002</v>
      </c>
    </row>
    <row r="193" spans="1:10" ht="13.5" thickBot="1" x14ac:dyDescent="0.25">
      <c r="A193" s="274" t="s">
        <v>48</v>
      </c>
      <c r="B193" s="275" t="s">
        <v>8</v>
      </c>
      <c r="C193" s="275">
        <f>C190*12</f>
        <v>120</v>
      </c>
      <c r="D193" s="276">
        <f>IF(C191&lt;=C190,E192,0)</f>
        <v>147306.80000000002</v>
      </c>
      <c r="E193" s="276">
        <f>IFERROR(D193/C193,0)</f>
        <v>1227.5566666666668</v>
      </c>
    </row>
    <row r="194" spans="1:10" ht="13.5" thickTop="1" x14ac:dyDescent="0.2">
      <c r="A194" s="13" t="s">
        <v>108</v>
      </c>
      <c r="B194" s="14" t="s">
        <v>10</v>
      </c>
      <c r="C194" s="14">
        <f>C189</f>
        <v>1</v>
      </c>
      <c r="D194" s="87">
        <v>98000</v>
      </c>
      <c r="E194" s="15">
        <f>C194*D194</f>
        <v>98000</v>
      </c>
      <c r="G194" s="9"/>
    </row>
    <row r="195" spans="1:10" x14ac:dyDescent="0.2">
      <c r="A195" s="16" t="s">
        <v>105</v>
      </c>
      <c r="B195" s="17" t="s">
        <v>104</v>
      </c>
      <c r="C195" s="86">
        <v>10</v>
      </c>
      <c r="D195" s="18"/>
      <c r="E195" s="18"/>
    </row>
    <row r="196" spans="1:10" x14ac:dyDescent="0.2">
      <c r="A196" s="16" t="s">
        <v>207</v>
      </c>
      <c r="B196" s="17" t="s">
        <v>104</v>
      </c>
      <c r="C196" s="86">
        <v>0</v>
      </c>
      <c r="D196" s="18"/>
      <c r="E196" s="18"/>
      <c r="F196" s="20"/>
      <c r="I196" s="85"/>
      <c r="J196" s="85"/>
    </row>
    <row r="197" spans="1:10" x14ac:dyDescent="0.2">
      <c r="A197" s="16" t="s">
        <v>106</v>
      </c>
      <c r="B197" s="17" t="s">
        <v>2</v>
      </c>
      <c r="C197" s="143">
        <f>IFERROR(VLOOKUP(C195,'5. Depreciação'!A3:B17,2,FALSE),0)</f>
        <v>65.180000000000007</v>
      </c>
      <c r="D197" s="18">
        <f>E194</f>
        <v>98000</v>
      </c>
      <c r="E197" s="18">
        <f>C197*D197/100</f>
        <v>63876.400000000009</v>
      </c>
    </row>
    <row r="198" spans="1:10" x14ac:dyDescent="0.2">
      <c r="A198" s="103" t="s">
        <v>110</v>
      </c>
      <c r="B198" s="104" t="s">
        <v>8</v>
      </c>
      <c r="C198" s="104">
        <f>C195*12</f>
        <v>120</v>
      </c>
      <c r="D198" s="105">
        <f>IF(C196&lt;=C195,E197,0)</f>
        <v>63876.400000000009</v>
      </c>
      <c r="E198" s="105">
        <f>IFERROR(D198/C198,0)</f>
        <v>532.3033333333334</v>
      </c>
    </row>
    <row r="199" spans="1:10" x14ac:dyDescent="0.2">
      <c r="A199" s="117" t="s">
        <v>246</v>
      </c>
      <c r="B199" s="118"/>
      <c r="C199" s="118"/>
      <c r="D199" s="119"/>
      <c r="E199" s="120">
        <f>E193+E198</f>
        <v>1759.8600000000001</v>
      </c>
    </row>
    <row r="200" spans="1:10" ht="13.5" thickBot="1" x14ac:dyDescent="0.25">
      <c r="A200" s="103" t="s">
        <v>247</v>
      </c>
      <c r="B200" s="104" t="s">
        <v>10</v>
      </c>
      <c r="C200" s="86">
        <v>1</v>
      </c>
      <c r="D200" s="105">
        <f>E199</f>
        <v>1759.8600000000001</v>
      </c>
      <c r="E200" s="120">
        <f>C200*D200</f>
        <v>1759.8600000000001</v>
      </c>
    </row>
    <row r="201" spans="1:10" ht="13.5" thickBot="1" x14ac:dyDescent="0.25">
      <c r="A201" s="270"/>
      <c r="B201" s="270"/>
      <c r="C201" s="270"/>
      <c r="D201" s="124" t="s">
        <v>196</v>
      </c>
      <c r="E201" s="50">
        <f>$B$55</f>
        <v>0.57269999999999999</v>
      </c>
      <c r="F201" s="21">
        <f>E200*E201</f>
        <v>1007.8718220000001</v>
      </c>
    </row>
    <row r="202" spans="1:10" ht="11.25" customHeight="1" x14ac:dyDescent="0.2"/>
    <row r="203" spans="1:10" ht="13.5" thickBot="1" x14ac:dyDescent="0.25">
      <c r="A203" s="107" t="s">
        <v>114</v>
      </c>
    </row>
    <row r="204" spans="1:10" ht="13.5" thickBot="1" x14ac:dyDescent="0.25">
      <c r="A204" s="109" t="s">
        <v>62</v>
      </c>
      <c r="B204" s="110" t="s">
        <v>63</v>
      </c>
      <c r="C204" s="110" t="s">
        <v>38</v>
      </c>
      <c r="D204" s="62" t="s">
        <v>231</v>
      </c>
      <c r="E204" s="111" t="s">
        <v>64</v>
      </c>
      <c r="F204" s="63" t="s">
        <v>65</v>
      </c>
      <c r="I204" s="85"/>
      <c r="J204" s="85"/>
    </row>
    <row r="205" spans="1:10" x14ac:dyDescent="0.2">
      <c r="A205" s="16" t="s">
        <v>112</v>
      </c>
      <c r="B205" s="17" t="s">
        <v>10</v>
      </c>
      <c r="C205" s="271">
        <v>1</v>
      </c>
      <c r="D205" s="18">
        <f>D189</f>
        <v>226000</v>
      </c>
      <c r="E205" s="18">
        <f>C205*D205</f>
        <v>226000</v>
      </c>
      <c r="F205" s="20"/>
      <c r="I205" s="85"/>
      <c r="J205" s="85"/>
    </row>
    <row r="206" spans="1:10" x14ac:dyDescent="0.2">
      <c r="A206" s="16" t="s">
        <v>210</v>
      </c>
      <c r="B206" s="17" t="s">
        <v>2</v>
      </c>
      <c r="C206" s="86">
        <v>6.5</v>
      </c>
      <c r="D206" s="18"/>
      <c r="E206" s="18"/>
      <c r="F206" s="20"/>
      <c r="I206" s="85"/>
      <c r="J206" s="85"/>
    </row>
    <row r="207" spans="1:10" x14ac:dyDescent="0.2">
      <c r="A207" s="16" t="s">
        <v>208</v>
      </c>
      <c r="B207" s="17" t="s">
        <v>31</v>
      </c>
      <c r="C207" s="150">
        <f>IFERROR(IF(C191&lt;=C190,E189-(C192/(100*C190)*C191)*E189,E189-E192),0)</f>
        <v>78693.199999999983</v>
      </c>
      <c r="D207" s="18"/>
      <c r="E207" s="18"/>
      <c r="F207" s="20"/>
      <c r="I207" s="85"/>
      <c r="J207" s="85"/>
    </row>
    <row r="208" spans="1:10" x14ac:dyDescent="0.2">
      <c r="A208" s="16" t="s">
        <v>117</v>
      </c>
      <c r="B208" s="17" t="s">
        <v>31</v>
      </c>
      <c r="C208" s="83">
        <f>IFERROR(IF(C191&gt;=C190,C207,((((C207)-(E189-E192))*(((C190-C191)+1)/(2*(C190-C191))))+(E189-E192))),0)</f>
        <v>78693.199999999983</v>
      </c>
      <c r="D208" s="18"/>
      <c r="E208" s="18"/>
      <c r="F208" s="20"/>
      <c r="I208" s="85"/>
      <c r="J208" s="85"/>
    </row>
    <row r="209" spans="1:10" ht="13.5" thickBot="1" x14ac:dyDescent="0.25">
      <c r="A209" s="274" t="s">
        <v>118</v>
      </c>
      <c r="B209" s="275" t="s">
        <v>31</v>
      </c>
      <c r="C209" s="275"/>
      <c r="D209" s="277">
        <f>C206*C208/12/100</f>
        <v>426.25483333333324</v>
      </c>
      <c r="E209" s="276">
        <f>D209</f>
        <v>426.25483333333324</v>
      </c>
      <c r="F209" s="20"/>
      <c r="I209" s="85"/>
      <c r="J209" s="85"/>
    </row>
    <row r="210" spans="1:10" ht="13.5" thickTop="1" x14ac:dyDescent="0.2">
      <c r="A210" s="13" t="s">
        <v>113</v>
      </c>
      <c r="B210" s="14" t="s">
        <v>10</v>
      </c>
      <c r="C210" s="14">
        <f>C194</f>
        <v>1</v>
      </c>
      <c r="D210" s="15">
        <f>D194</f>
        <v>98000</v>
      </c>
      <c r="E210" s="15">
        <f>C210*D210</f>
        <v>98000</v>
      </c>
      <c r="F210" s="20"/>
      <c r="I210" s="85"/>
      <c r="J210" s="85"/>
    </row>
    <row r="211" spans="1:10" x14ac:dyDescent="0.2">
      <c r="A211" s="16" t="s">
        <v>210</v>
      </c>
      <c r="B211" s="17" t="s">
        <v>2</v>
      </c>
      <c r="C211" s="272">
        <f>C206</f>
        <v>6.5</v>
      </c>
      <c r="D211" s="18"/>
      <c r="E211" s="18"/>
      <c r="F211" s="20"/>
      <c r="I211" s="85"/>
      <c r="J211" s="85"/>
    </row>
    <row r="212" spans="1:10" x14ac:dyDescent="0.2">
      <c r="A212" s="16" t="s">
        <v>209</v>
      </c>
      <c r="B212" s="17" t="s">
        <v>31</v>
      </c>
      <c r="C212" s="150">
        <f>IFERROR(IF(C196&lt;=C195,E194-(C197/(100*C195)*C196)*E194,E194-E197),0)</f>
        <v>98000</v>
      </c>
      <c r="D212" s="18"/>
      <c r="E212" s="18"/>
      <c r="F212" s="20"/>
      <c r="I212" s="85"/>
      <c r="J212" s="85"/>
    </row>
    <row r="213" spans="1:10" x14ac:dyDescent="0.2">
      <c r="A213" s="16" t="s">
        <v>119</v>
      </c>
      <c r="B213" s="17" t="s">
        <v>31</v>
      </c>
      <c r="C213" s="83">
        <f>IFERROR(IF(C196&gt;=C195,C212,((((C212)-(E194-E197))*(((C195-C196)+1)/(2*(C195-C196))))+(E194-E197))),0)</f>
        <v>69255.62</v>
      </c>
      <c r="D213" s="18"/>
      <c r="E213" s="18"/>
      <c r="F213" s="20"/>
      <c r="I213" s="85"/>
      <c r="J213" s="85"/>
    </row>
    <row r="214" spans="1:10" x14ac:dyDescent="0.2">
      <c r="A214" s="103" t="s">
        <v>116</v>
      </c>
      <c r="B214" s="104" t="s">
        <v>31</v>
      </c>
      <c r="C214" s="104"/>
      <c r="D214" s="113">
        <f>C211*C213/12/100</f>
        <v>375.13460833333329</v>
      </c>
      <c r="E214" s="105">
        <f>D214</f>
        <v>375.13460833333329</v>
      </c>
      <c r="F214" s="20"/>
      <c r="I214" s="85"/>
      <c r="J214" s="85"/>
    </row>
    <row r="215" spans="1:10" x14ac:dyDescent="0.2">
      <c r="A215" s="117" t="s">
        <v>246</v>
      </c>
      <c r="B215" s="118"/>
      <c r="C215" s="118"/>
      <c r="D215" s="119"/>
      <c r="E215" s="120">
        <f>E209+E214</f>
        <v>801.38944166666647</v>
      </c>
      <c r="F215" s="20"/>
      <c r="I215" s="85"/>
      <c r="J215" s="85"/>
    </row>
    <row r="216" spans="1:10" ht="13.5" thickBot="1" x14ac:dyDescent="0.25">
      <c r="A216" s="103" t="s">
        <v>247</v>
      </c>
      <c r="B216" s="104" t="s">
        <v>10</v>
      </c>
      <c r="C216" s="272">
        <f>C200</f>
        <v>1</v>
      </c>
      <c r="D216" s="105">
        <f>E215</f>
        <v>801.38944166666647</v>
      </c>
      <c r="E216" s="120">
        <f>C216*D216</f>
        <v>801.38944166666647</v>
      </c>
      <c r="F216" s="20"/>
      <c r="I216" s="85"/>
      <c r="J216" s="85"/>
    </row>
    <row r="217" spans="1:10" ht="13.5" thickBot="1" x14ac:dyDescent="0.25">
      <c r="C217" s="19"/>
      <c r="D217" s="124" t="s">
        <v>196</v>
      </c>
      <c r="E217" s="50">
        <f>$B$55</f>
        <v>0.57269999999999999</v>
      </c>
      <c r="F217" s="21">
        <f>E216*E217</f>
        <v>458.95573324249989</v>
      </c>
      <c r="I217" s="85"/>
      <c r="J217" s="85"/>
    </row>
    <row r="218" spans="1:10" ht="11.25" customHeight="1" x14ac:dyDescent="0.2">
      <c r="I218" s="85"/>
      <c r="J218" s="85"/>
    </row>
    <row r="219" spans="1:10" ht="13.5" thickBot="1" x14ac:dyDescent="0.25">
      <c r="A219" s="9" t="s">
        <v>49</v>
      </c>
      <c r="I219" s="85"/>
      <c r="J219" s="85"/>
    </row>
    <row r="220" spans="1:10" ht="13.5" thickBot="1" x14ac:dyDescent="0.25">
      <c r="A220" s="60" t="s">
        <v>62</v>
      </c>
      <c r="B220" s="61" t="s">
        <v>63</v>
      </c>
      <c r="C220" s="61" t="s">
        <v>38</v>
      </c>
      <c r="D220" s="62" t="s">
        <v>231</v>
      </c>
      <c r="E220" s="62" t="s">
        <v>64</v>
      </c>
      <c r="F220" s="63" t="s">
        <v>65</v>
      </c>
      <c r="I220" s="85"/>
      <c r="J220" s="85"/>
    </row>
    <row r="221" spans="1:10" x14ac:dyDescent="0.2">
      <c r="A221" s="13" t="s">
        <v>12</v>
      </c>
      <c r="B221" s="14" t="s">
        <v>10</v>
      </c>
      <c r="C221" s="15">
        <f>C200</f>
        <v>1</v>
      </c>
      <c r="D221" s="15">
        <f>0.01*($E$189)</f>
        <v>2260</v>
      </c>
      <c r="E221" s="15">
        <f>C221*D221</f>
        <v>2260</v>
      </c>
      <c r="I221" s="85"/>
      <c r="J221" s="85"/>
    </row>
    <row r="222" spans="1:10" x14ac:dyDescent="0.2">
      <c r="A222" s="16" t="s">
        <v>195</v>
      </c>
      <c r="B222" s="17" t="s">
        <v>10</v>
      </c>
      <c r="C222" s="15">
        <f>C200</f>
        <v>1</v>
      </c>
      <c r="D222" s="89">
        <v>2260</v>
      </c>
      <c r="E222" s="18">
        <f>C222*D222</f>
        <v>2260</v>
      </c>
      <c r="I222" s="85"/>
      <c r="J222" s="85"/>
    </row>
    <row r="223" spans="1:10" x14ac:dyDescent="0.2">
      <c r="A223" s="16" t="s">
        <v>13</v>
      </c>
      <c r="B223" s="17" t="s">
        <v>10</v>
      </c>
      <c r="C223" s="15">
        <f>C200</f>
        <v>1</v>
      </c>
      <c r="D223" s="89">
        <v>500</v>
      </c>
      <c r="E223" s="18">
        <f>C223*D223</f>
        <v>500</v>
      </c>
      <c r="F223" s="31"/>
      <c r="I223" s="85"/>
      <c r="J223" s="85"/>
    </row>
    <row r="224" spans="1:10" ht="13.5" thickBot="1" x14ac:dyDescent="0.25">
      <c r="A224" s="103" t="s">
        <v>14</v>
      </c>
      <c r="B224" s="104" t="s">
        <v>8</v>
      </c>
      <c r="C224" s="104">
        <v>12</v>
      </c>
      <c r="D224" s="105">
        <f>SUM(E221:E223)</f>
        <v>5020</v>
      </c>
      <c r="E224" s="105">
        <f>D224/C224</f>
        <v>418.33333333333331</v>
      </c>
      <c r="I224" s="85"/>
      <c r="J224" s="85"/>
    </row>
    <row r="225" spans="1:10" ht="13.5" thickBot="1" x14ac:dyDescent="0.25">
      <c r="D225" s="124" t="s">
        <v>196</v>
      </c>
      <c r="E225" s="50">
        <f>$B$55</f>
        <v>0.57269999999999999</v>
      </c>
      <c r="F225" s="125">
        <f>E224*E225</f>
        <v>239.5795</v>
      </c>
      <c r="I225" s="85"/>
      <c r="J225" s="85"/>
    </row>
    <row r="226" spans="1:10" ht="11.25" customHeight="1" x14ac:dyDescent="0.2">
      <c r="I226" s="85"/>
      <c r="J226" s="85"/>
    </row>
    <row r="227" spans="1:10" x14ac:dyDescent="0.2">
      <c r="A227" s="9" t="s">
        <v>50</v>
      </c>
      <c r="B227" s="32"/>
      <c r="I227" s="85"/>
      <c r="J227" s="85"/>
    </row>
    <row r="228" spans="1:10" x14ac:dyDescent="0.2">
      <c r="B228" s="32"/>
      <c r="I228" s="85"/>
      <c r="J228" s="85"/>
    </row>
    <row r="229" spans="1:10" ht="25.5" x14ac:dyDescent="0.2">
      <c r="A229" s="332" t="s">
        <v>281</v>
      </c>
      <c r="B229" s="114">
        <v>4880</v>
      </c>
      <c r="I229" s="85"/>
      <c r="J229" s="85"/>
    </row>
    <row r="230" spans="1:10" ht="13.5" thickBot="1" x14ac:dyDescent="0.25">
      <c r="B230" s="32"/>
      <c r="I230" s="85"/>
      <c r="J230" s="85"/>
    </row>
    <row r="231" spans="1:10" ht="13.5" thickBot="1" x14ac:dyDescent="0.25">
      <c r="A231" s="60" t="s">
        <v>62</v>
      </c>
      <c r="B231" s="61" t="s">
        <v>63</v>
      </c>
      <c r="C231" s="61" t="s">
        <v>245</v>
      </c>
      <c r="D231" s="62" t="s">
        <v>231</v>
      </c>
      <c r="E231" s="62" t="s">
        <v>64</v>
      </c>
      <c r="F231" s="63" t="s">
        <v>65</v>
      </c>
      <c r="I231" s="85"/>
      <c r="J231" s="85"/>
    </row>
    <row r="232" spans="1:10" ht="25.5" x14ac:dyDescent="0.2">
      <c r="A232" s="333" t="s">
        <v>306</v>
      </c>
      <c r="B232" s="14" t="s">
        <v>15</v>
      </c>
      <c r="C232" s="97">
        <v>2</v>
      </c>
      <c r="D232" s="98">
        <v>3.53</v>
      </c>
      <c r="E232" s="15"/>
      <c r="I232" s="85"/>
      <c r="J232" s="85"/>
    </row>
    <row r="233" spans="1:10" ht="25.5" x14ac:dyDescent="0.2">
      <c r="A233" s="329" t="s">
        <v>305</v>
      </c>
      <c r="B233" s="17" t="s">
        <v>16</v>
      </c>
      <c r="C233" s="94">
        <v>2500</v>
      </c>
      <c r="D233" s="269">
        <f>IFERROR(+D232/C232,"-")</f>
        <v>1.7649999999999999</v>
      </c>
      <c r="E233" s="18">
        <f>IFERROR(C233*D233,"-")</f>
        <v>4412.5</v>
      </c>
      <c r="I233" s="85"/>
      <c r="J233" s="85"/>
    </row>
    <row r="234" spans="1:10" ht="25.5" x14ac:dyDescent="0.2">
      <c r="A234" s="333" t="s">
        <v>307</v>
      </c>
      <c r="B234" s="14" t="s">
        <v>15</v>
      </c>
      <c r="C234" s="97">
        <v>4</v>
      </c>
      <c r="D234" s="98">
        <v>3.53</v>
      </c>
      <c r="E234" s="15"/>
      <c r="I234" s="85"/>
      <c r="J234" s="85"/>
    </row>
    <row r="235" spans="1:10" ht="25.5" x14ac:dyDescent="0.2">
      <c r="A235" s="329" t="s">
        <v>308</v>
      </c>
      <c r="B235" s="17" t="s">
        <v>16</v>
      </c>
      <c r="C235" s="334">
        <v>2240</v>
      </c>
      <c r="D235" s="269">
        <f>IFERROR(+D234/C234,"-")</f>
        <v>0.88249999999999995</v>
      </c>
      <c r="E235" s="18">
        <f>IFERROR(C235*D235,"-")</f>
        <v>1976.8</v>
      </c>
      <c r="I235" s="85"/>
      <c r="J235" s="85"/>
    </row>
    <row r="236" spans="1:10" ht="38.25" x14ac:dyDescent="0.2">
      <c r="A236" s="333" t="s">
        <v>309</v>
      </c>
      <c r="B236" s="14" t="s">
        <v>15</v>
      </c>
      <c r="C236" s="97">
        <v>4</v>
      </c>
      <c r="D236" s="98">
        <v>3.53</v>
      </c>
      <c r="E236" s="15"/>
      <c r="I236" s="85"/>
      <c r="J236" s="85"/>
    </row>
    <row r="237" spans="1:10" ht="38.25" x14ac:dyDescent="0.2">
      <c r="A237" s="329" t="s">
        <v>310</v>
      </c>
      <c r="B237" s="17" t="s">
        <v>16</v>
      </c>
      <c r="C237" s="334">
        <v>140</v>
      </c>
      <c r="D237" s="269">
        <f>IFERROR(+D236/C236,"-")</f>
        <v>0.88249999999999995</v>
      </c>
      <c r="E237" s="18">
        <f>IFERROR(C237*D237,"-")</f>
        <v>123.55</v>
      </c>
      <c r="I237" s="85"/>
      <c r="J237" s="85"/>
    </row>
    <row r="238" spans="1:10" x14ac:dyDescent="0.2">
      <c r="A238" s="16" t="s">
        <v>232</v>
      </c>
      <c r="B238" s="17" t="s">
        <v>17</v>
      </c>
      <c r="C238" s="100">
        <v>1.4</v>
      </c>
      <c r="D238" s="309">
        <v>13.2</v>
      </c>
      <c r="E238" s="18"/>
      <c r="G238" s="112"/>
      <c r="H238" s="52"/>
      <c r="I238" s="85"/>
      <c r="J238" s="85"/>
    </row>
    <row r="239" spans="1:10" x14ac:dyDescent="0.2">
      <c r="A239" s="16" t="s">
        <v>18</v>
      </c>
      <c r="B239" s="17" t="s">
        <v>16</v>
      </c>
      <c r="C239" s="94">
        <f>C233</f>
        <v>2500</v>
      </c>
      <c r="D239" s="310">
        <f>+C238*D238/1000</f>
        <v>1.8479999999999996E-2</v>
      </c>
      <c r="E239" s="18">
        <f>C239*D239</f>
        <v>46.199999999999989</v>
      </c>
      <c r="G239" s="112"/>
      <c r="H239" s="52"/>
      <c r="I239" s="85"/>
      <c r="J239" s="85"/>
    </row>
    <row r="240" spans="1:10" x14ac:dyDescent="0.2">
      <c r="A240" s="16" t="s">
        <v>233</v>
      </c>
      <c r="B240" s="17" t="s">
        <v>17</v>
      </c>
      <c r="C240" s="100">
        <v>1</v>
      </c>
      <c r="D240" s="89">
        <v>14.5</v>
      </c>
      <c r="E240" s="18"/>
      <c r="G240" s="112"/>
      <c r="H240" s="52"/>
      <c r="I240" s="85"/>
      <c r="J240" s="85"/>
    </row>
    <row r="241" spans="1:10" x14ac:dyDescent="0.2">
      <c r="A241" s="16" t="s">
        <v>19</v>
      </c>
      <c r="B241" s="17" t="s">
        <v>16</v>
      </c>
      <c r="C241" s="94">
        <f>C233</f>
        <v>2500</v>
      </c>
      <c r="D241" s="266">
        <f>+C240*D240/1000</f>
        <v>1.4500000000000001E-2</v>
      </c>
      <c r="E241" s="18">
        <f>C241*D241</f>
        <v>36.25</v>
      </c>
      <c r="G241" s="112"/>
      <c r="H241" s="52"/>
      <c r="I241" s="85"/>
      <c r="J241" s="85"/>
    </row>
    <row r="242" spans="1:10" x14ac:dyDescent="0.2">
      <c r="A242" s="16" t="s">
        <v>234</v>
      </c>
      <c r="B242" s="17" t="s">
        <v>17</v>
      </c>
      <c r="C242" s="100">
        <v>1</v>
      </c>
      <c r="D242" s="89">
        <v>11.25</v>
      </c>
      <c r="E242" s="18"/>
      <c r="G242" s="112"/>
      <c r="H242" s="52"/>
      <c r="I242" s="85"/>
      <c r="J242" s="85"/>
    </row>
    <row r="243" spans="1:10" x14ac:dyDescent="0.2">
      <c r="A243" s="16" t="s">
        <v>20</v>
      </c>
      <c r="B243" s="17" t="s">
        <v>16</v>
      </c>
      <c r="C243" s="94">
        <f>C233</f>
        <v>2500</v>
      </c>
      <c r="D243" s="266">
        <f>+C242*D242/1000</f>
        <v>1.125E-2</v>
      </c>
      <c r="E243" s="18">
        <f>C243*D243</f>
        <v>28.125</v>
      </c>
      <c r="G243" s="112"/>
      <c r="H243" s="52"/>
      <c r="I243" s="85"/>
      <c r="J243" s="85"/>
    </row>
    <row r="244" spans="1:10" x14ac:dyDescent="0.2">
      <c r="A244" s="16" t="s">
        <v>21</v>
      </c>
      <c r="B244" s="17" t="s">
        <v>22</v>
      </c>
      <c r="C244" s="100">
        <v>1.66</v>
      </c>
      <c r="D244" s="89">
        <v>23.33</v>
      </c>
      <c r="E244" s="18"/>
      <c r="G244" s="112"/>
      <c r="H244" s="52"/>
      <c r="I244" s="85"/>
      <c r="J244" s="85"/>
    </row>
    <row r="245" spans="1:10" x14ac:dyDescent="0.2">
      <c r="A245" s="16" t="s">
        <v>23</v>
      </c>
      <c r="B245" s="17" t="s">
        <v>16</v>
      </c>
      <c r="C245" s="94">
        <f>C233</f>
        <v>2500</v>
      </c>
      <c r="D245" s="266">
        <f>+C244*D244/1000</f>
        <v>3.8727799999999993E-2</v>
      </c>
      <c r="E245" s="18">
        <f>C245*D245</f>
        <v>96.819499999999977</v>
      </c>
      <c r="G245" s="112"/>
      <c r="H245" s="52"/>
      <c r="I245" s="85"/>
      <c r="J245" s="85"/>
    </row>
    <row r="246" spans="1:10" ht="13.5" thickBot="1" x14ac:dyDescent="0.25">
      <c r="A246" s="103" t="s">
        <v>244</v>
      </c>
      <c r="B246" s="104" t="s">
        <v>121</v>
      </c>
      <c r="C246" s="267"/>
      <c r="D246" s="268">
        <f>IFERROR(D233+D239+D241+D243+D245+D235+D237,0)</f>
        <v>3.6129577999999998</v>
      </c>
      <c r="E246" s="18"/>
      <c r="G246" s="112"/>
      <c r="H246" s="52"/>
      <c r="I246" s="85"/>
      <c r="J246" s="85"/>
    </row>
    <row r="247" spans="1:10" ht="13.5" thickBot="1" x14ac:dyDescent="0.25">
      <c r="F247" s="21">
        <f>SUM(E232:E245)</f>
        <v>6720.2444999999998</v>
      </c>
      <c r="I247" s="85"/>
      <c r="J247" s="85"/>
    </row>
    <row r="248" spans="1:10" ht="11.25" customHeight="1" x14ac:dyDescent="0.2">
      <c r="I248" s="85"/>
      <c r="J248" s="85"/>
    </row>
    <row r="249" spans="1:10" ht="13.5" thickBot="1" x14ac:dyDescent="0.25">
      <c r="A249" s="9" t="s">
        <v>51</v>
      </c>
      <c r="I249" s="85"/>
      <c r="J249" s="85"/>
    </row>
    <row r="250" spans="1:10" ht="13.5" thickBot="1" x14ac:dyDescent="0.25">
      <c r="A250" s="60" t="s">
        <v>62</v>
      </c>
      <c r="B250" s="61" t="s">
        <v>63</v>
      </c>
      <c r="C250" s="61" t="s">
        <v>38</v>
      </c>
      <c r="D250" s="62" t="s">
        <v>231</v>
      </c>
      <c r="E250" s="62" t="s">
        <v>64</v>
      </c>
      <c r="F250" s="63" t="s">
        <v>65</v>
      </c>
      <c r="I250" s="85"/>
      <c r="J250" s="85"/>
    </row>
    <row r="251" spans="1:10" ht="13.5" thickBot="1" x14ac:dyDescent="0.25">
      <c r="A251" s="13" t="s">
        <v>120</v>
      </c>
      <c r="B251" s="14" t="s">
        <v>121</v>
      </c>
      <c r="C251" s="94">
        <f>B229</f>
        <v>4880</v>
      </c>
      <c r="D251" s="87">
        <v>0.74</v>
      </c>
      <c r="E251" s="15">
        <f>C251*D251</f>
        <v>3611.2</v>
      </c>
      <c r="I251" s="85"/>
      <c r="J251" s="85"/>
    </row>
    <row r="252" spans="1:10" ht="13.5" thickBot="1" x14ac:dyDescent="0.25">
      <c r="F252" s="21">
        <f>E251</f>
        <v>3611.2</v>
      </c>
      <c r="I252" s="85"/>
      <c r="J252" s="85"/>
    </row>
    <row r="253" spans="1:10" ht="11.25" customHeight="1" x14ac:dyDescent="0.2">
      <c r="I253" s="85"/>
      <c r="J253" s="85"/>
    </row>
    <row r="254" spans="1:10" ht="13.5" thickBot="1" x14ac:dyDescent="0.25">
      <c r="A254" s="9" t="s">
        <v>60</v>
      </c>
      <c r="I254" s="85"/>
      <c r="J254" s="85"/>
    </row>
    <row r="255" spans="1:10" ht="13.5" thickBot="1" x14ac:dyDescent="0.25">
      <c r="A255" s="60" t="s">
        <v>62</v>
      </c>
      <c r="B255" s="61" t="s">
        <v>63</v>
      </c>
      <c r="C255" s="61" t="s">
        <v>38</v>
      </c>
      <c r="D255" s="62" t="s">
        <v>231</v>
      </c>
      <c r="E255" s="62" t="s">
        <v>64</v>
      </c>
      <c r="F255" s="63" t="s">
        <v>65</v>
      </c>
      <c r="I255" s="85"/>
      <c r="J255" s="85"/>
    </row>
    <row r="256" spans="1:10" x14ac:dyDescent="0.2">
      <c r="A256" s="303" t="s">
        <v>282</v>
      </c>
      <c r="B256" s="14" t="s">
        <v>10</v>
      </c>
      <c r="C256" s="96">
        <v>4</v>
      </c>
      <c r="D256" s="87">
        <v>1503</v>
      </c>
      <c r="E256" s="15">
        <f>C256*D256</f>
        <v>6012</v>
      </c>
      <c r="I256" s="85"/>
      <c r="J256" s="85"/>
    </row>
    <row r="257" spans="1:10" x14ac:dyDescent="0.2">
      <c r="A257" s="13" t="s">
        <v>122</v>
      </c>
      <c r="B257" s="14" t="s">
        <v>10</v>
      </c>
      <c r="C257" s="96">
        <v>3</v>
      </c>
      <c r="D257" s="106"/>
      <c r="E257" s="15"/>
      <c r="I257" s="85"/>
      <c r="J257" s="85"/>
    </row>
    <row r="258" spans="1:10" x14ac:dyDescent="0.2">
      <c r="A258" s="13" t="s">
        <v>69</v>
      </c>
      <c r="B258" s="14" t="s">
        <v>10</v>
      </c>
      <c r="C258" s="15">
        <f>C256*C257</f>
        <v>12</v>
      </c>
      <c r="D258" s="87">
        <v>660</v>
      </c>
      <c r="E258" s="15">
        <f>C258*D258</f>
        <v>7920</v>
      </c>
      <c r="I258" s="85"/>
      <c r="J258" s="85"/>
    </row>
    <row r="259" spans="1:10" x14ac:dyDescent="0.2">
      <c r="A259" s="313" t="s">
        <v>288</v>
      </c>
      <c r="B259" s="17" t="s">
        <v>24</v>
      </c>
      <c r="C259" s="99">
        <v>90000</v>
      </c>
      <c r="D259" s="18">
        <f>E256+E258</f>
        <v>13932</v>
      </c>
      <c r="E259" s="18">
        <f>IFERROR(D259/C259,"-")</f>
        <v>0.15479999999999999</v>
      </c>
      <c r="I259" s="85"/>
      <c r="J259" s="85"/>
    </row>
    <row r="260" spans="1:10" ht="13.5" thickBot="1" x14ac:dyDescent="0.25">
      <c r="A260" s="16" t="s">
        <v>53</v>
      </c>
      <c r="B260" s="17" t="s">
        <v>16</v>
      </c>
      <c r="C260" s="94">
        <f>B229</f>
        <v>4880</v>
      </c>
      <c r="D260" s="18">
        <f>E259</f>
        <v>0.15479999999999999</v>
      </c>
      <c r="E260" s="18">
        <f>IFERROR(C260*D260,0)</f>
        <v>755.42399999999998</v>
      </c>
      <c r="I260" s="85"/>
      <c r="J260" s="85"/>
    </row>
    <row r="261" spans="1:10" ht="13.5" thickBot="1" x14ac:dyDescent="0.25">
      <c r="F261" s="21">
        <f>E260</f>
        <v>755.42399999999998</v>
      </c>
      <c r="I261" s="85"/>
      <c r="J261" s="85"/>
    </row>
    <row r="262" spans="1:10" x14ac:dyDescent="0.2">
      <c r="I262" s="85"/>
      <c r="J262" s="85"/>
    </row>
    <row r="263" spans="1:10" x14ac:dyDescent="0.2">
      <c r="A263" s="34" t="s">
        <v>289</v>
      </c>
      <c r="I263" s="85"/>
      <c r="J263" s="85"/>
    </row>
    <row r="264" spans="1:10" x14ac:dyDescent="0.2">
      <c r="A264" s="34"/>
      <c r="I264" s="85"/>
      <c r="J264" s="85"/>
    </row>
    <row r="265" spans="1:10" ht="13.5" thickBot="1" x14ac:dyDescent="0.25">
      <c r="A265" s="7" t="s">
        <v>311</v>
      </c>
      <c r="B265" s="34"/>
      <c r="C265" s="34"/>
      <c r="D265" s="35"/>
      <c r="E265" s="35"/>
      <c r="F265" s="35"/>
      <c r="I265" s="85"/>
      <c r="J265" s="85"/>
    </row>
    <row r="266" spans="1:10" ht="13.5" thickBot="1" x14ac:dyDescent="0.25">
      <c r="A266" s="60" t="s">
        <v>62</v>
      </c>
      <c r="B266" s="61" t="s">
        <v>63</v>
      </c>
      <c r="C266" s="61" t="s">
        <v>38</v>
      </c>
      <c r="D266" s="62" t="s">
        <v>231</v>
      </c>
      <c r="E266" s="62" t="s">
        <v>64</v>
      </c>
      <c r="F266" s="63" t="s">
        <v>65</v>
      </c>
      <c r="I266" s="85"/>
      <c r="J266" s="85"/>
    </row>
    <row r="267" spans="1:10" x14ac:dyDescent="0.2">
      <c r="A267" s="34" t="s">
        <v>290</v>
      </c>
      <c r="B267" s="315" t="s">
        <v>10</v>
      </c>
      <c r="C267" s="316">
        <v>1</v>
      </c>
      <c r="D267" s="317">
        <v>25000</v>
      </c>
      <c r="E267" s="318">
        <f>C267*D267</f>
        <v>25000</v>
      </c>
      <c r="F267" s="319"/>
      <c r="I267" s="85"/>
      <c r="J267" s="85"/>
    </row>
    <row r="268" spans="1:10" x14ac:dyDescent="0.2">
      <c r="A268" s="313" t="s">
        <v>291</v>
      </c>
      <c r="B268" s="320" t="s">
        <v>292</v>
      </c>
      <c r="C268" s="321">
        <v>60</v>
      </c>
      <c r="D268" s="322"/>
      <c r="E268" s="323"/>
      <c r="F268" s="319"/>
      <c r="I268" s="85"/>
      <c r="J268" s="85"/>
    </row>
    <row r="269" spans="1:10" x14ac:dyDescent="0.2">
      <c r="A269" s="313" t="s">
        <v>293</v>
      </c>
      <c r="B269" s="320" t="s">
        <v>2</v>
      </c>
      <c r="C269" s="324">
        <v>70.73</v>
      </c>
      <c r="D269" s="323">
        <f>E267</f>
        <v>25000</v>
      </c>
      <c r="E269" s="323">
        <f>C269*D269/100</f>
        <v>17682.5</v>
      </c>
      <c r="F269" s="319"/>
      <c r="I269" s="85"/>
      <c r="J269" s="85"/>
    </row>
    <row r="270" spans="1:10" ht="13.5" thickBot="1" x14ac:dyDescent="0.25">
      <c r="A270" s="274" t="s">
        <v>294</v>
      </c>
      <c r="B270" s="275"/>
      <c r="C270" s="275"/>
      <c r="D270" s="276">
        <f>E269</f>
        <v>17682.5</v>
      </c>
      <c r="E270" s="276">
        <f>D270/C268</f>
        <v>294.70833333333331</v>
      </c>
      <c r="F270" s="319"/>
      <c r="I270" s="85"/>
      <c r="J270" s="85"/>
    </row>
    <row r="271" spans="1:10" ht="13.5" thickTop="1" x14ac:dyDescent="0.2">
      <c r="A271" s="117" t="s">
        <v>295</v>
      </c>
      <c r="B271" s="118"/>
      <c r="C271" s="118"/>
      <c r="D271" s="119"/>
      <c r="E271" s="120">
        <f>E270</f>
        <v>294.70833333333331</v>
      </c>
      <c r="F271" s="319"/>
      <c r="I271" s="85"/>
      <c r="J271" s="85"/>
    </row>
    <row r="272" spans="1:10" ht="13.5" thickBot="1" x14ac:dyDescent="0.25">
      <c r="A272" s="103" t="s">
        <v>295</v>
      </c>
      <c r="B272" s="104" t="s">
        <v>10</v>
      </c>
      <c r="C272" s="321">
        <v>1</v>
      </c>
      <c r="D272" s="105">
        <f>E271</f>
        <v>294.70833333333331</v>
      </c>
      <c r="E272" s="120">
        <f>C272*D272</f>
        <v>294.70833333333331</v>
      </c>
      <c r="F272" s="319"/>
      <c r="I272" s="85"/>
      <c r="J272" s="85"/>
    </row>
    <row r="273" spans="1:10" ht="11.25" customHeight="1" thickBot="1" x14ac:dyDescent="0.25">
      <c r="A273" s="270"/>
      <c r="B273" s="270"/>
      <c r="C273" s="270"/>
      <c r="D273" s="325"/>
      <c r="E273" s="326"/>
      <c r="F273" s="21">
        <f>E272</f>
        <v>294.70833333333331</v>
      </c>
      <c r="I273" s="85"/>
      <c r="J273" s="85"/>
    </row>
    <row r="274" spans="1:10" ht="11.25" customHeight="1" thickBot="1" x14ac:dyDescent="0.25">
      <c r="A274" s="336" t="s">
        <v>312</v>
      </c>
      <c r="B274" s="270"/>
      <c r="C274" s="270"/>
      <c r="D274" s="325"/>
      <c r="E274" s="335"/>
      <c r="I274" s="85"/>
      <c r="J274" s="85"/>
    </row>
    <row r="275" spans="1:10" ht="11.25" customHeight="1" x14ac:dyDescent="0.2">
      <c r="A275" s="337" t="s">
        <v>62</v>
      </c>
      <c r="B275" s="338" t="s">
        <v>63</v>
      </c>
      <c r="C275" s="338" t="s">
        <v>38</v>
      </c>
      <c r="D275" s="339" t="s">
        <v>231</v>
      </c>
      <c r="E275" s="339" t="s">
        <v>64</v>
      </c>
      <c r="F275" s="340" t="s">
        <v>65</v>
      </c>
      <c r="I275" s="85"/>
      <c r="J275" s="85"/>
    </row>
    <row r="276" spans="1:10" ht="11.25" customHeight="1" x14ac:dyDescent="0.2">
      <c r="A276" s="303" t="s">
        <v>314</v>
      </c>
      <c r="B276" s="14" t="s">
        <v>10</v>
      </c>
      <c r="C276" s="14">
        <v>1</v>
      </c>
      <c r="D276" s="87">
        <v>25000</v>
      </c>
      <c r="E276" s="15">
        <f>C276*D276</f>
        <v>25000</v>
      </c>
      <c r="F276" s="20"/>
      <c r="I276" s="85"/>
      <c r="J276" s="85"/>
    </row>
    <row r="277" spans="1:10" ht="11.25" customHeight="1" x14ac:dyDescent="0.2">
      <c r="A277" s="16" t="s">
        <v>210</v>
      </c>
      <c r="B277" s="17" t="s">
        <v>2</v>
      </c>
      <c r="C277" s="88">
        <v>6.5</v>
      </c>
      <c r="D277" s="18"/>
      <c r="E277" s="18"/>
      <c r="F277" s="20"/>
      <c r="I277" s="85"/>
      <c r="J277" s="85"/>
    </row>
    <row r="278" spans="1:10" ht="11.25" customHeight="1" x14ac:dyDescent="0.2">
      <c r="A278" s="313" t="s">
        <v>315</v>
      </c>
      <c r="B278" s="320" t="s">
        <v>104</v>
      </c>
      <c r="C278" s="89">
        <v>10</v>
      </c>
      <c r="D278" s="18"/>
      <c r="E278" s="18"/>
      <c r="F278" s="20"/>
      <c r="I278" s="85"/>
      <c r="J278" s="85"/>
    </row>
    <row r="279" spans="1:10" ht="11.25" customHeight="1" x14ac:dyDescent="0.2">
      <c r="A279" s="103" t="s">
        <v>116</v>
      </c>
      <c r="B279" s="104" t="s">
        <v>31</v>
      </c>
      <c r="C279" s="104"/>
      <c r="D279" s="113">
        <f>D276/C278/12</f>
        <v>208.33333333333334</v>
      </c>
      <c r="E279" s="105">
        <f>D279*C277/100+D279</f>
        <v>221.875</v>
      </c>
      <c r="F279" s="20"/>
      <c r="I279" s="85"/>
      <c r="J279" s="85"/>
    </row>
    <row r="280" spans="1:10" ht="11.25" customHeight="1" x14ac:dyDescent="0.2">
      <c r="A280" s="117" t="s">
        <v>313</v>
      </c>
      <c r="B280" s="118"/>
      <c r="C280" s="118"/>
      <c r="D280" s="119"/>
      <c r="E280" s="120"/>
      <c r="F280" s="20"/>
      <c r="I280" s="85"/>
      <c r="J280" s="85"/>
    </row>
    <row r="281" spans="1:10" ht="11.25" customHeight="1" thickBot="1" x14ac:dyDescent="0.25">
      <c r="A281" s="103"/>
      <c r="B281" s="104"/>
      <c r="C281" s="272"/>
      <c r="D281" s="105"/>
      <c r="E281" s="120"/>
      <c r="F281" s="20"/>
      <c r="I281" s="85"/>
      <c r="J281" s="85"/>
    </row>
    <row r="282" spans="1:10" ht="11.25" customHeight="1" thickBot="1" x14ac:dyDescent="0.25">
      <c r="C282" s="19"/>
      <c r="D282" s="124" t="s">
        <v>196</v>
      </c>
      <c r="E282" s="50">
        <v>1</v>
      </c>
      <c r="F282" s="21">
        <f>E279*E282</f>
        <v>221.875</v>
      </c>
      <c r="I282" s="85"/>
      <c r="J282" s="85"/>
    </row>
    <row r="283" spans="1:10" ht="11.25" customHeight="1" thickBot="1" x14ac:dyDescent="0.25">
      <c r="G283" s="9"/>
    </row>
    <row r="284" spans="1:10" ht="13.5" thickBot="1" x14ac:dyDescent="0.25">
      <c r="A284" s="24" t="s">
        <v>220</v>
      </c>
      <c r="B284" s="25"/>
      <c r="C284" s="25"/>
      <c r="D284" s="26"/>
      <c r="E284" s="27"/>
      <c r="F284" s="21">
        <f>+SUM(F189:F283)</f>
        <v>13309.858888575834</v>
      </c>
      <c r="G284" s="9"/>
    </row>
    <row r="285" spans="1:10" ht="11.25" customHeight="1" x14ac:dyDescent="0.2">
      <c r="G285" s="9"/>
    </row>
    <row r="286" spans="1:10" x14ac:dyDescent="0.2">
      <c r="A286" s="34" t="s">
        <v>73</v>
      </c>
      <c r="B286" s="34"/>
      <c r="C286" s="34"/>
      <c r="D286" s="35"/>
      <c r="E286" s="35"/>
      <c r="F286" s="33"/>
      <c r="G286" s="9"/>
    </row>
    <row r="287" spans="1:10" ht="11.25" customHeight="1" thickBot="1" x14ac:dyDescent="0.25">
      <c r="G287" s="9"/>
    </row>
    <row r="288" spans="1:10" ht="13.5" thickBot="1" x14ac:dyDescent="0.25">
      <c r="A288" s="60" t="s">
        <v>62</v>
      </c>
      <c r="B288" s="61" t="s">
        <v>63</v>
      </c>
      <c r="C288" s="61" t="s">
        <v>38</v>
      </c>
      <c r="D288" s="62" t="s">
        <v>231</v>
      </c>
      <c r="E288" s="62" t="s">
        <v>64</v>
      </c>
      <c r="F288" s="63" t="s">
        <v>65</v>
      </c>
      <c r="G288" s="9"/>
    </row>
    <row r="289" spans="1:7" x14ac:dyDescent="0.2">
      <c r="A289" s="16" t="s">
        <v>70</v>
      </c>
      <c r="B289" s="17" t="s">
        <v>10</v>
      </c>
      <c r="C289" s="101">
        <v>8.3333333333333329E-2</v>
      </c>
      <c r="D289" s="87">
        <v>36.619999999999997</v>
      </c>
      <c r="E289" s="18">
        <f>C289*D289</f>
        <v>3.0516666666666663</v>
      </c>
      <c r="F289" s="55"/>
      <c r="G289" s="9"/>
    </row>
    <row r="290" spans="1:7" x14ac:dyDescent="0.2">
      <c r="A290" s="16" t="s">
        <v>25</v>
      </c>
      <c r="B290" s="17" t="s">
        <v>10</v>
      </c>
      <c r="C290" s="101">
        <v>4.1666666666666664E-2</v>
      </c>
      <c r="D290" s="87">
        <v>28.11</v>
      </c>
      <c r="E290" s="18">
        <f>C290*D290</f>
        <v>1.1712499999999999</v>
      </c>
      <c r="F290" s="55"/>
      <c r="G290" s="9"/>
    </row>
    <row r="291" spans="1:7" x14ac:dyDescent="0.2">
      <c r="A291" s="16" t="s">
        <v>26</v>
      </c>
      <c r="B291" s="17" t="s">
        <v>10</v>
      </c>
      <c r="C291" s="101">
        <v>1</v>
      </c>
      <c r="D291" s="87">
        <v>15</v>
      </c>
      <c r="E291" s="18">
        <f>C291*D291</f>
        <v>15</v>
      </c>
      <c r="F291" s="55"/>
      <c r="G291" s="9"/>
    </row>
    <row r="292" spans="1:7" x14ac:dyDescent="0.2">
      <c r="A292" s="16" t="s">
        <v>55</v>
      </c>
      <c r="B292" s="17" t="s">
        <v>56</v>
      </c>
      <c r="C292" s="101">
        <v>2.7777777777777776E-2</v>
      </c>
      <c r="D292" s="87"/>
      <c r="E292" s="18">
        <f>C292*D292</f>
        <v>0</v>
      </c>
      <c r="F292" s="55"/>
      <c r="G292" s="9"/>
    </row>
    <row r="293" spans="1:7" ht="13.5" thickBot="1" x14ac:dyDescent="0.25">
      <c r="A293" s="16" t="s">
        <v>58</v>
      </c>
      <c r="B293" s="17" t="s">
        <v>56</v>
      </c>
      <c r="C293" s="101">
        <v>1.6666666666666666E-2</v>
      </c>
      <c r="D293" s="87">
        <v>1500</v>
      </c>
      <c r="E293" s="18">
        <f>C293*D293</f>
        <v>25</v>
      </c>
      <c r="F293" s="55"/>
      <c r="G293" s="9"/>
    </row>
    <row r="294" spans="1:7" ht="13.5" thickBot="1" x14ac:dyDescent="0.25">
      <c r="A294" s="34"/>
      <c r="B294" s="34"/>
      <c r="C294" s="34"/>
      <c r="D294" s="34"/>
      <c r="E294" s="35"/>
      <c r="F294" s="21">
        <f>SUM(E289:E293)</f>
        <v>44.222916666666663</v>
      </c>
      <c r="G294" s="9"/>
    </row>
    <row r="295" spans="1:7" ht="11.25" customHeight="1" thickBot="1" x14ac:dyDescent="0.25">
      <c r="G295" s="9"/>
    </row>
    <row r="296" spans="1:7" ht="13.5" thickBot="1" x14ac:dyDescent="0.25">
      <c r="A296" s="24" t="s">
        <v>221</v>
      </c>
      <c r="B296" s="25"/>
      <c r="C296" s="25"/>
      <c r="D296" s="26"/>
      <c r="E296" s="27"/>
      <c r="F296" s="21">
        <f>+F294</f>
        <v>44.222916666666663</v>
      </c>
      <c r="G296" s="9"/>
    </row>
    <row r="297" spans="1:7" ht="11.25" customHeight="1" x14ac:dyDescent="0.2">
      <c r="G297" s="9"/>
    </row>
    <row r="298" spans="1:7" x14ac:dyDescent="0.2">
      <c r="A298" s="34" t="s">
        <v>74</v>
      </c>
      <c r="B298" s="34"/>
      <c r="C298" s="34"/>
      <c r="D298" s="35"/>
      <c r="E298" s="35"/>
      <c r="F298" s="33"/>
    </row>
    <row r="299" spans="1:7" ht="11.25" customHeight="1" thickBot="1" x14ac:dyDescent="0.25"/>
    <row r="300" spans="1:7" ht="13.5" thickBot="1" x14ac:dyDescent="0.25">
      <c r="A300" s="60" t="s">
        <v>62</v>
      </c>
      <c r="B300" s="61" t="s">
        <v>63</v>
      </c>
      <c r="C300" s="61" t="s">
        <v>38</v>
      </c>
      <c r="D300" s="62" t="s">
        <v>231</v>
      </c>
      <c r="E300" s="62" t="s">
        <v>64</v>
      </c>
      <c r="F300" s="63" t="s">
        <v>65</v>
      </c>
    </row>
    <row r="301" spans="1:7" x14ac:dyDescent="0.2">
      <c r="A301" s="16" t="s">
        <v>218</v>
      </c>
      <c r="B301" s="53" t="s">
        <v>56</v>
      </c>
      <c r="C301" s="69">
        <f>C189</f>
        <v>1</v>
      </c>
      <c r="D301" s="89">
        <v>150</v>
      </c>
      <c r="E301" s="18">
        <f>+D301*C301</f>
        <v>150</v>
      </c>
      <c r="F301" s="55"/>
    </row>
    <row r="302" spans="1:7" x14ac:dyDescent="0.2">
      <c r="A302" s="16" t="s">
        <v>59</v>
      </c>
      <c r="B302" s="53" t="s">
        <v>8</v>
      </c>
      <c r="C302" s="156">
        <v>60</v>
      </c>
      <c r="D302" s="80">
        <f>SUM(E301:E301)</f>
        <v>150</v>
      </c>
      <c r="E302" s="80">
        <f>+D302/C302</f>
        <v>2.5</v>
      </c>
      <c r="F302" s="55"/>
    </row>
    <row r="303" spans="1:7" x14ac:dyDescent="0.2">
      <c r="A303" s="16" t="s">
        <v>219</v>
      </c>
      <c r="B303" s="17" t="s">
        <v>10</v>
      </c>
      <c r="C303" s="69">
        <f>+C301</f>
        <v>1</v>
      </c>
      <c r="D303" s="89">
        <v>55</v>
      </c>
      <c r="E303" s="18">
        <f>C303*D303</f>
        <v>55</v>
      </c>
      <c r="F303" s="55"/>
    </row>
    <row r="304" spans="1:7" ht="13.5" thickBot="1" x14ac:dyDescent="0.25">
      <c r="A304" s="16" t="s">
        <v>35</v>
      </c>
      <c r="B304" s="53" t="s">
        <v>8</v>
      </c>
      <c r="C304" s="156">
        <v>1</v>
      </c>
      <c r="D304" s="80">
        <f>+E303</f>
        <v>55</v>
      </c>
      <c r="E304" s="80">
        <f>+D304/C304</f>
        <v>55</v>
      </c>
      <c r="F304" s="55"/>
    </row>
    <row r="305" spans="1:7" ht="13.5" thickBot="1" x14ac:dyDescent="0.25">
      <c r="A305" s="81"/>
      <c r="B305" s="81"/>
      <c r="C305" s="81"/>
      <c r="D305" s="124" t="s">
        <v>196</v>
      </c>
      <c r="E305" s="50">
        <f>$B$55</f>
        <v>0.57269999999999999</v>
      </c>
      <c r="F305" s="82">
        <f>(E302+E304)*E305</f>
        <v>32.930250000000001</v>
      </c>
    </row>
    <row r="306" spans="1:7" s="51" customFormat="1" ht="11.25" customHeight="1" thickBot="1" x14ac:dyDescent="0.25">
      <c r="A306" s="9"/>
      <c r="B306" s="9"/>
      <c r="C306" s="9"/>
      <c r="D306" s="10"/>
      <c r="E306" s="10"/>
      <c r="F306" s="10"/>
      <c r="G306" s="84"/>
    </row>
    <row r="307" spans="1:7" ht="13.5" thickBot="1" x14ac:dyDescent="0.25">
      <c r="A307" s="24" t="s">
        <v>217</v>
      </c>
      <c r="B307" s="25"/>
      <c r="C307" s="25"/>
      <c r="D307" s="26"/>
      <c r="E307" s="27"/>
      <c r="F307" s="21">
        <f>+F305</f>
        <v>32.930250000000001</v>
      </c>
    </row>
    <row r="308" spans="1:7" ht="11.25" customHeight="1" thickBot="1" x14ac:dyDescent="0.25"/>
    <row r="309" spans="1:7" ht="17.25" customHeight="1" thickBot="1" x14ac:dyDescent="0.25">
      <c r="A309" s="24" t="s">
        <v>222</v>
      </c>
      <c r="B309" s="28"/>
      <c r="C309" s="28"/>
      <c r="D309" s="29"/>
      <c r="E309" s="30"/>
      <c r="F309" s="22">
        <f>+F147+F181+F284+F296+F307</f>
        <v>20470.504734721188</v>
      </c>
    </row>
    <row r="310" spans="1:7" x14ac:dyDescent="0.2">
      <c r="A310" s="34"/>
      <c r="B310" s="54"/>
      <c r="C310" s="54"/>
      <c r="D310" s="59"/>
      <c r="E310" s="59"/>
      <c r="F310" s="59"/>
    </row>
    <row r="311" spans="1:7" x14ac:dyDescent="0.2">
      <c r="A311" s="34" t="s">
        <v>298</v>
      </c>
      <c r="B311" s="54"/>
      <c r="C311" s="54"/>
      <c r="D311" s="59"/>
      <c r="E311" s="59"/>
      <c r="F311" s="59"/>
    </row>
    <row r="312" spans="1:7" ht="13.5" thickBot="1" x14ac:dyDescent="0.25">
      <c r="A312" s="34"/>
      <c r="B312" s="54"/>
      <c r="C312" s="54"/>
      <c r="D312" s="59"/>
      <c r="E312" s="59"/>
      <c r="F312" s="59"/>
    </row>
    <row r="313" spans="1:7" ht="24.75" thickBot="1" x14ac:dyDescent="0.25">
      <c r="A313" s="60" t="s">
        <v>62</v>
      </c>
      <c r="B313" s="61" t="s">
        <v>10</v>
      </c>
      <c r="C313" s="330" t="s">
        <v>299</v>
      </c>
      <c r="D313" s="62" t="s">
        <v>231</v>
      </c>
      <c r="E313" s="62" t="s">
        <v>64</v>
      </c>
      <c r="F313" s="63" t="s">
        <v>65</v>
      </c>
    </row>
    <row r="314" spans="1:7" x14ac:dyDescent="0.2">
      <c r="A314" s="313" t="s">
        <v>303</v>
      </c>
      <c r="B314" s="53" t="s">
        <v>300</v>
      </c>
      <c r="C314" s="88">
        <v>25</v>
      </c>
      <c r="D314" s="89">
        <v>105</v>
      </c>
      <c r="E314" s="18">
        <f>+D314*C314</f>
        <v>2625</v>
      </c>
      <c r="F314" s="55"/>
    </row>
    <row r="315" spans="1:7" ht="27" customHeight="1" thickBot="1" x14ac:dyDescent="0.25">
      <c r="A315" s="329" t="s">
        <v>301</v>
      </c>
      <c r="B315" s="53" t="s">
        <v>300</v>
      </c>
      <c r="C315" s="88">
        <v>5</v>
      </c>
      <c r="D315" s="89">
        <v>105</v>
      </c>
      <c r="E315" s="323">
        <f>C315*D315</f>
        <v>525</v>
      </c>
      <c r="F315" s="55"/>
    </row>
    <row r="316" spans="1:7" ht="13.5" thickBot="1" x14ac:dyDescent="0.25">
      <c r="A316" s="81"/>
      <c r="B316" s="81"/>
      <c r="C316" s="81"/>
      <c r="D316" s="124"/>
      <c r="E316" s="50"/>
      <c r="F316" s="82">
        <f>SUM(E314:E315)</f>
        <v>3150</v>
      </c>
    </row>
    <row r="317" spans="1:7" ht="13.5" thickBot="1" x14ac:dyDescent="0.25"/>
    <row r="318" spans="1:7" ht="13.5" thickBot="1" x14ac:dyDescent="0.25">
      <c r="A318" s="24" t="s">
        <v>302</v>
      </c>
      <c r="B318" s="25"/>
      <c r="C318" s="25"/>
      <c r="D318" s="26"/>
      <c r="E318" s="27"/>
      <c r="F318" s="21">
        <f>+F316</f>
        <v>3150</v>
      </c>
    </row>
    <row r="319" spans="1:7" ht="11.25" customHeight="1" x14ac:dyDescent="0.2"/>
    <row r="320" spans="1:7" x14ac:dyDescent="0.2">
      <c r="A320" s="11" t="s">
        <v>297</v>
      </c>
    </row>
    <row r="321" spans="1:7" ht="11.25" customHeight="1" thickBot="1" x14ac:dyDescent="0.25"/>
    <row r="322" spans="1:7" ht="13.5" thickBot="1" x14ac:dyDescent="0.25">
      <c r="A322" s="60" t="s">
        <v>62</v>
      </c>
      <c r="B322" s="61" t="s">
        <v>63</v>
      </c>
      <c r="C322" s="61" t="s">
        <v>38</v>
      </c>
      <c r="D322" s="62" t="s">
        <v>231</v>
      </c>
      <c r="E322" s="62" t="s">
        <v>64</v>
      </c>
      <c r="F322" s="63" t="s">
        <v>65</v>
      </c>
    </row>
    <row r="323" spans="1:7" ht="13.5" thickBot="1" x14ac:dyDescent="0.25">
      <c r="A323" s="13" t="s">
        <v>34</v>
      </c>
      <c r="B323" s="14" t="s">
        <v>2</v>
      </c>
      <c r="C323" s="142">
        <f>'4.BDI'!C20*100</f>
        <v>32.33</v>
      </c>
      <c r="D323" s="15">
        <f>+F309+F318</f>
        <v>23620.504734721188</v>
      </c>
      <c r="E323" s="15">
        <f>C323*D323/100</f>
        <v>7636.5091807353592</v>
      </c>
    </row>
    <row r="324" spans="1:7" ht="13.5" thickBot="1" x14ac:dyDescent="0.25">
      <c r="F324" s="21">
        <f>+E323</f>
        <v>7636.5091807353592</v>
      </c>
    </row>
    <row r="325" spans="1:7" ht="11.25" customHeight="1" thickBot="1" x14ac:dyDescent="0.25"/>
    <row r="326" spans="1:7" ht="13.5" thickBot="1" x14ac:dyDescent="0.25">
      <c r="A326" s="24" t="s">
        <v>235</v>
      </c>
      <c r="B326" s="28"/>
      <c r="C326" s="28"/>
      <c r="D326" s="29"/>
      <c r="E326" s="30"/>
      <c r="F326" s="22">
        <f>F324</f>
        <v>7636.5091807353592</v>
      </c>
    </row>
    <row r="327" spans="1:7" x14ac:dyDescent="0.2">
      <c r="A327" s="34"/>
      <c r="B327" s="34"/>
      <c r="C327" s="34"/>
      <c r="D327" s="35"/>
      <c r="E327" s="35"/>
      <c r="F327" s="33"/>
    </row>
    <row r="328" spans="1:7" ht="11.25" customHeight="1" thickBot="1" x14ac:dyDescent="0.25"/>
    <row r="329" spans="1:7" ht="24.75" customHeight="1" thickBot="1" x14ac:dyDescent="0.25">
      <c r="A329" s="24" t="s">
        <v>223</v>
      </c>
      <c r="B329" s="28"/>
      <c r="C329" s="28"/>
      <c r="D329" s="29"/>
      <c r="E329" s="30"/>
      <c r="F329" s="22">
        <f>F309+F326+F318</f>
        <v>31257.013915456548</v>
      </c>
    </row>
    <row r="330" spans="1:7" ht="12.6" customHeight="1" x14ac:dyDescent="0.2">
      <c r="A330" s="56"/>
      <c r="B330" s="56"/>
      <c r="C330" s="56"/>
      <c r="D330" s="57"/>
      <c r="E330" s="57"/>
      <c r="F330" s="57"/>
    </row>
    <row r="331" spans="1:7" ht="14.25" x14ac:dyDescent="0.2">
      <c r="A331" s="8"/>
      <c r="B331" s="8"/>
      <c r="C331" s="8"/>
      <c r="D331" s="36"/>
      <c r="E331" s="36"/>
    </row>
    <row r="333" spans="1:7" ht="12.6" customHeight="1" x14ac:dyDescent="0.2">
      <c r="A333" s="34"/>
      <c r="B333" s="34"/>
      <c r="C333" s="34"/>
      <c r="D333" s="35"/>
      <c r="E333" s="35"/>
      <c r="F333" s="35"/>
    </row>
    <row r="334" spans="1:7" s="4" customFormat="1" ht="9.75" customHeight="1" x14ac:dyDescent="0.2">
      <c r="A334" s="39"/>
      <c r="B334" s="10"/>
      <c r="C334" s="10"/>
      <c r="D334" s="10"/>
      <c r="E334" s="10"/>
      <c r="F334" s="10"/>
      <c r="G334" s="6"/>
    </row>
    <row r="335" spans="1:7" s="4" customFormat="1" ht="9.75" customHeight="1" x14ac:dyDescent="0.2">
      <c r="A335" s="39"/>
      <c r="B335" s="10"/>
      <c r="C335" s="10"/>
      <c r="D335" s="10"/>
      <c r="E335" s="10"/>
      <c r="F335" s="10"/>
      <c r="G335" s="6"/>
    </row>
    <row r="336" spans="1:7" s="4" customFormat="1" ht="9.75" customHeight="1" x14ac:dyDescent="0.2">
      <c r="A336" s="39"/>
      <c r="B336" s="10"/>
      <c r="C336" s="10"/>
      <c r="D336" s="10"/>
      <c r="E336" s="10"/>
      <c r="F336" s="10"/>
      <c r="G336" s="6"/>
    </row>
    <row r="366" spans="4:7" ht="9" customHeight="1" x14ac:dyDescent="0.2">
      <c r="D366" s="9"/>
      <c r="E366" s="9"/>
      <c r="F366" s="9"/>
      <c r="G366" s="9"/>
    </row>
  </sheetData>
  <mergeCells count="7">
    <mergeCell ref="A51:D51"/>
    <mergeCell ref="A24:C24"/>
    <mergeCell ref="A11:F11"/>
    <mergeCell ref="A12:F12"/>
    <mergeCell ref="A44:D44"/>
    <mergeCell ref="A14:F14"/>
    <mergeCell ref="A43:E43"/>
  </mergeCells>
  <phoneticPr fontId="9" type="noConversion"/>
  <hyperlinks>
    <hyperlink ref="A203" location="AbaRemun" display="3.1.2. Remuneração do Capital" xr:uid="{00000000-0004-0000-0000-000000000000}"/>
    <hyperlink ref="A187" location="AbaDeprec" display="3.1.1. Depreciação" xr:uid="{00000000-0004-0000-0000-000001000000}"/>
  </hyperlinks>
  <pageMargins left="1.299212598425197" right="0.51181102362204722" top="0" bottom="0.74803149606299213" header="0.31496062992125984" footer="0.31496062992125984"/>
  <pageSetup paperSize="9" fitToHeight="0" orientation="landscape" r:id="rId1"/>
  <headerFooter alignWithMargins="0">
    <oddFooter>&amp;R&amp;P de &amp;N</oddFooter>
  </headerFooter>
  <rowBreaks count="4" manualBreakCount="4">
    <brk id="56" max="5" man="1"/>
    <brk id="126" max="5" man="1"/>
    <brk id="182" max="5" man="1"/>
    <brk id="253" max="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8"/>
  <sheetViews>
    <sheetView zoomScaleNormal="100" workbookViewId="0">
      <selection activeCell="C30" sqref="C30"/>
    </sheetView>
  </sheetViews>
  <sheetFormatPr defaultRowHeight="12.75" x14ac:dyDescent="0.2"/>
  <cols>
    <col min="1" max="1" width="13.5703125" style="1" customWidth="1"/>
    <col min="2" max="2" width="39.5703125" style="1" bestFit="1" customWidth="1"/>
    <col min="3" max="3" width="14.5703125" style="1" customWidth="1"/>
    <col min="4" max="4" width="37.28515625" style="159" customWidth="1"/>
    <col min="5" max="10" width="9.140625" style="1"/>
    <col min="11" max="11" width="11" style="1" bestFit="1" customWidth="1"/>
    <col min="12" max="16384" width="9.140625" style="1"/>
  </cols>
  <sheetData>
    <row r="1" spans="1:12" x14ac:dyDescent="0.2">
      <c r="A1" s="11"/>
    </row>
    <row r="2" spans="1:12" x14ac:dyDescent="0.2">
      <c r="A2" s="141"/>
    </row>
    <row r="3" spans="1:12" s="4" customFormat="1" ht="15.6" customHeight="1" x14ac:dyDescent="0.2">
      <c r="B3" s="140"/>
      <c r="C3" s="140"/>
      <c r="D3" s="140"/>
      <c r="E3" s="140"/>
      <c r="F3" s="140"/>
      <c r="G3" s="6"/>
    </row>
    <row r="4" spans="1:12" s="4" customFormat="1" ht="15.6" customHeight="1" x14ac:dyDescent="0.2">
      <c r="A4" s="300"/>
      <c r="B4" s="140"/>
      <c r="C4" s="140"/>
      <c r="D4" s="140"/>
      <c r="E4" s="140"/>
      <c r="F4" s="140"/>
      <c r="G4" s="6"/>
    </row>
    <row r="5" spans="1:12" s="4" customFormat="1" ht="16.5" customHeight="1" x14ac:dyDescent="0.2">
      <c r="A5" s="300"/>
      <c r="B5" s="311" t="s">
        <v>284</v>
      </c>
      <c r="C5" s="5"/>
      <c r="D5" s="6"/>
      <c r="E5" s="6"/>
      <c r="F5" s="6"/>
      <c r="G5" s="6"/>
    </row>
    <row r="6" spans="1:12" ht="13.5" thickBot="1" x14ac:dyDescent="0.25">
      <c r="B6" s="7"/>
    </row>
    <row r="7" spans="1:12" ht="18" x14ac:dyDescent="0.2">
      <c r="A7" s="358" t="s">
        <v>226</v>
      </c>
      <c r="B7" s="359"/>
      <c r="C7" s="360"/>
      <c r="D7" s="151"/>
      <c r="E7" s="151"/>
      <c r="F7" s="151"/>
    </row>
    <row r="8" spans="1:12" ht="14.25" x14ac:dyDescent="0.2">
      <c r="A8" s="170" t="s">
        <v>142</v>
      </c>
      <c r="B8" s="171" t="s">
        <v>143</v>
      </c>
      <c r="C8" s="172" t="s">
        <v>144</v>
      </c>
      <c r="D8" s="173"/>
    </row>
    <row r="9" spans="1:12" ht="14.25" x14ac:dyDescent="0.2">
      <c r="A9" s="170" t="s">
        <v>145</v>
      </c>
      <c r="B9" s="171" t="s">
        <v>39</v>
      </c>
      <c r="C9" s="174">
        <v>0.2</v>
      </c>
      <c r="D9" s="173"/>
      <c r="F9" s="159"/>
      <c r="G9" s="159"/>
      <c r="H9" s="159"/>
      <c r="I9" s="159"/>
      <c r="J9" s="159"/>
      <c r="K9" s="159"/>
      <c r="L9" s="159"/>
    </row>
    <row r="10" spans="1:12" ht="14.25" x14ac:dyDescent="0.2">
      <c r="A10" s="170" t="s">
        <v>146</v>
      </c>
      <c r="B10" s="171" t="s">
        <v>147</v>
      </c>
      <c r="C10" s="174">
        <v>1.4999999999999999E-2</v>
      </c>
      <c r="D10" s="173"/>
      <c r="F10" s="159"/>
      <c r="G10" s="159"/>
      <c r="H10" s="159"/>
      <c r="I10" s="159"/>
      <c r="J10" s="159"/>
      <c r="K10" s="159"/>
      <c r="L10" s="159"/>
    </row>
    <row r="11" spans="1:12" ht="14.25" x14ac:dyDescent="0.2">
      <c r="A11" s="170" t="s">
        <v>148</v>
      </c>
      <c r="B11" s="171" t="s">
        <v>149</v>
      </c>
      <c r="C11" s="174">
        <v>0.01</v>
      </c>
      <c r="D11" s="173"/>
      <c r="F11" s="159"/>
      <c r="G11" s="159"/>
      <c r="H11" s="159"/>
      <c r="I11" s="159"/>
      <c r="J11" s="159"/>
      <c r="K11" s="159"/>
      <c r="L11" s="159"/>
    </row>
    <row r="12" spans="1:12" ht="14.25" x14ac:dyDescent="0.2">
      <c r="A12" s="170" t="s">
        <v>150</v>
      </c>
      <c r="B12" s="171" t="s">
        <v>151</v>
      </c>
      <c r="C12" s="174">
        <v>2E-3</v>
      </c>
      <c r="D12" s="173"/>
      <c r="F12" s="159"/>
      <c r="G12" s="159"/>
      <c r="H12" s="159"/>
      <c r="I12" s="159"/>
      <c r="J12" s="159"/>
      <c r="K12" s="159"/>
      <c r="L12" s="159"/>
    </row>
    <row r="13" spans="1:12" ht="14.25" x14ac:dyDescent="0.2">
      <c r="A13" s="170" t="s">
        <v>152</v>
      </c>
      <c r="B13" s="171" t="s">
        <v>153</v>
      </c>
      <c r="C13" s="174">
        <v>6.0000000000000001E-3</v>
      </c>
      <c r="D13" s="173"/>
      <c r="F13" s="159"/>
      <c r="G13" s="159"/>
      <c r="H13" s="159"/>
      <c r="I13" s="159"/>
      <c r="J13" s="159"/>
      <c r="K13" s="159"/>
      <c r="L13" s="159"/>
    </row>
    <row r="14" spans="1:12" ht="14.25" x14ac:dyDescent="0.2">
      <c r="A14" s="170" t="s">
        <v>154</v>
      </c>
      <c r="B14" s="171" t="s">
        <v>155</v>
      </c>
      <c r="C14" s="174">
        <v>2.5000000000000001E-2</v>
      </c>
      <c r="D14" s="173"/>
      <c r="F14" s="159"/>
      <c r="G14" s="159"/>
      <c r="H14" s="159"/>
      <c r="I14" s="159"/>
      <c r="J14" s="159"/>
      <c r="K14" s="159"/>
      <c r="L14" s="159"/>
    </row>
    <row r="15" spans="1:12" ht="14.25" x14ac:dyDescent="0.2">
      <c r="A15" s="170" t="s">
        <v>156</v>
      </c>
      <c r="B15" s="171" t="s">
        <v>157</v>
      </c>
      <c r="C15" s="174">
        <v>0.03</v>
      </c>
      <c r="D15" s="173"/>
      <c r="F15" s="159"/>
      <c r="G15" s="159"/>
      <c r="H15" s="159"/>
      <c r="I15" s="159"/>
      <c r="J15" s="159"/>
      <c r="K15" s="159"/>
      <c r="L15" s="159"/>
    </row>
    <row r="16" spans="1:12" ht="14.25" x14ac:dyDescent="0.2">
      <c r="A16" s="170" t="s">
        <v>158</v>
      </c>
      <c r="B16" s="171" t="s">
        <v>40</v>
      </c>
      <c r="C16" s="174">
        <v>0.08</v>
      </c>
      <c r="D16" s="175"/>
      <c r="F16" s="159"/>
      <c r="G16" s="159"/>
      <c r="H16" s="159"/>
      <c r="I16" s="159"/>
      <c r="J16" s="159"/>
      <c r="K16" s="159"/>
      <c r="L16" s="159"/>
    </row>
    <row r="17" spans="1:12" ht="15" x14ac:dyDescent="0.2">
      <c r="A17" s="170" t="s">
        <v>159</v>
      </c>
      <c r="B17" s="176" t="s">
        <v>160</v>
      </c>
      <c r="C17" s="177">
        <f>SUM(C9:C16)</f>
        <v>0.36800000000000005</v>
      </c>
      <c r="D17" s="175"/>
      <c r="F17" s="159"/>
      <c r="G17" s="159"/>
      <c r="H17" s="159"/>
      <c r="I17" s="159"/>
      <c r="J17" s="159"/>
      <c r="K17" s="159"/>
      <c r="L17" s="159"/>
    </row>
    <row r="18" spans="1:12" ht="15" x14ac:dyDescent="0.2">
      <c r="A18" s="178"/>
      <c r="B18" s="179"/>
      <c r="C18" s="180"/>
      <c r="D18" s="175"/>
      <c r="F18" s="159"/>
      <c r="G18" s="159"/>
      <c r="H18" s="159"/>
      <c r="I18" s="159"/>
      <c r="J18" s="159"/>
      <c r="K18" s="159"/>
      <c r="L18" s="159"/>
    </row>
    <row r="19" spans="1:12" ht="14.25" x14ac:dyDescent="0.2">
      <c r="A19" s="170" t="s">
        <v>161</v>
      </c>
      <c r="B19" s="181" t="s">
        <v>162</v>
      </c>
      <c r="C19" s="174">
        <f>ROUND(IF('3.CAGED'!C32&gt;24,(1-12/'3.CAGED'!C32)*0.1111,0.1111-C28),4)</f>
        <v>6.5699999999999995E-2</v>
      </c>
      <c r="D19" s="175"/>
      <c r="F19" s="159"/>
      <c r="G19" s="159"/>
      <c r="H19" s="159"/>
      <c r="I19" s="159"/>
      <c r="J19" s="159"/>
      <c r="K19" s="159"/>
      <c r="L19" s="159"/>
    </row>
    <row r="20" spans="1:12" ht="14.25" x14ac:dyDescent="0.2">
      <c r="A20" s="170" t="s">
        <v>163</v>
      </c>
      <c r="B20" s="181" t="s">
        <v>164</v>
      </c>
      <c r="C20" s="174">
        <f>ROUND('3.CAGED'!C36/'3.CAGED'!C33,4)</f>
        <v>8.3299999999999999E-2</v>
      </c>
      <c r="D20" s="175"/>
      <c r="F20" s="159"/>
      <c r="G20" s="159"/>
      <c r="H20" s="159"/>
      <c r="I20" s="159"/>
      <c r="J20" s="159"/>
      <c r="K20" s="159"/>
      <c r="L20" s="159"/>
    </row>
    <row r="21" spans="1:12" ht="14.25" x14ac:dyDescent="0.2">
      <c r="A21" s="170" t="s">
        <v>216</v>
      </c>
      <c r="B21" s="181" t="s">
        <v>166</v>
      </c>
      <c r="C21" s="174">
        <v>5.9999999999999995E-4</v>
      </c>
      <c r="D21" s="175"/>
      <c r="F21" s="159"/>
      <c r="G21" s="159"/>
      <c r="H21" s="159"/>
      <c r="I21" s="159"/>
      <c r="J21" s="159"/>
      <c r="K21" s="159"/>
      <c r="L21" s="159"/>
    </row>
    <row r="22" spans="1:12" ht="14.25" x14ac:dyDescent="0.2">
      <c r="A22" s="170" t="s">
        <v>165</v>
      </c>
      <c r="B22" s="181" t="s">
        <v>168</v>
      </c>
      <c r="C22" s="174">
        <v>8.2000000000000007E-3</v>
      </c>
      <c r="D22" s="175"/>
      <c r="F22" s="159"/>
      <c r="G22" s="159"/>
      <c r="H22" s="159"/>
      <c r="I22" s="159"/>
      <c r="J22" s="159"/>
      <c r="K22" s="159"/>
      <c r="L22" s="159"/>
    </row>
    <row r="23" spans="1:12" ht="14.25" x14ac:dyDescent="0.2">
      <c r="A23" s="170" t="s">
        <v>167</v>
      </c>
      <c r="B23" s="181" t="s">
        <v>170</v>
      </c>
      <c r="C23" s="174">
        <v>3.0999999999999999E-3</v>
      </c>
      <c r="D23" s="175"/>
      <c r="F23" s="159"/>
      <c r="G23" s="159"/>
      <c r="H23" s="159"/>
      <c r="I23" s="159"/>
      <c r="J23" s="159"/>
      <c r="K23" s="159"/>
      <c r="L23" s="159"/>
    </row>
    <row r="24" spans="1:12" ht="14.25" x14ac:dyDescent="0.2">
      <c r="A24" s="170" t="s">
        <v>169</v>
      </c>
      <c r="B24" s="181" t="s">
        <v>171</v>
      </c>
      <c r="C24" s="174">
        <v>1.66E-2</v>
      </c>
      <c r="D24" s="175"/>
      <c r="F24" s="159"/>
      <c r="G24" s="159"/>
      <c r="H24" s="159"/>
      <c r="I24" s="159"/>
      <c r="J24" s="159"/>
      <c r="K24" s="159"/>
      <c r="L24" s="159"/>
    </row>
    <row r="25" spans="1:12" ht="15" x14ac:dyDescent="0.2">
      <c r="A25" s="170" t="s">
        <v>172</v>
      </c>
      <c r="B25" s="176" t="s">
        <v>173</v>
      </c>
      <c r="C25" s="177">
        <f>SUM(C19:C24)</f>
        <v>0.17749999999999999</v>
      </c>
      <c r="D25" s="182"/>
      <c r="F25" s="159"/>
      <c r="G25" s="159"/>
      <c r="H25" s="159"/>
      <c r="I25" s="159"/>
      <c r="J25" s="159"/>
      <c r="K25" s="159"/>
      <c r="L25" s="159"/>
    </row>
    <row r="26" spans="1:12" ht="15" x14ac:dyDescent="0.2">
      <c r="A26" s="178"/>
      <c r="B26" s="179"/>
      <c r="C26" s="180"/>
      <c r="D26" s="182"/>
      <c r="F26" s="159"/>
      <c r="G26" s="159"/>
      <c r="H26" s="159"/>
      <c r="I26" s="159"/>
      <c r="J26" s="159"/>
      <c r="K26" s="159"/>
      <c r="L26" s="159"/>
    </row>
    <row r="27" spans="1:12" ht="14.25" x14ac:dyDescent="0.2">
      <c r="A27" s="170" t="s">
        <v>174</v>
      </c>
      <c r="B27" s="171" t="s">
        <v>175</v>
      </c>
      <c r="C27" s="174">
        <f>ROUND(('3.CAGED'!C37) *'3.CAGED'!C30/'3.CAGED'!C33,4)</f>
        <v>2.9000000000000001E-2</v>
      </c>
      <c r="D27" s="175"/>
      <c r="E27" s="183"/>
      <c r="F27" s="159"/>
      <c r="G27" s="159"/>
      <c r="H27" s="159"/>
      <c r="I27" s="159"/>
      <c r="J27" s="159"/>
      <c r="K27" s="159"/>
      <c r="L27" s="159"/>
    </row>
    <row r="28" spans="1:12" ht="14.25" x14ac:dyDescent="0.2">
      <c r="A28" s="170" t="s">
        <v>215</v>
      </c>
      <c r="B28" s="171" t="s">
        <v>177</v>
      </c>
      <c r="C28" s="174">
        <f>ROUND(IF('3.CAGED'!C32&gt;12,12/'3.CAGED'!C32*0.1111,0.1111),4)</f>
        <v>4.5400000000000003E-2</v>
      </c>
      <c r="D28" s="175"/>
      <c r="F28" s="159"/>
      <c r="G28" s="159"/>
      <c r="H28" s="184"/>
      <c r="I28" s="159"/>
      <c r="J28" s="159"/>
      <c r="K28" s="159"/>
      <c r="L28" s="159"/>
    </row>
    <row r="29" spans="1:12" ht="14.25" x14ac:dyDescent="0.2">
      <c r="A29" s="170" t="s">
        <v>176</v>
      </c>
      <c r="B29" s="171" t="s">
        <v>179</v>
      </c>
      <c r="C29" s="174">
        <f>C27*C28</f>
        <v>1.3166000000000002E-3</v>
      </c>
      <c r="D29" s="175"/>
      <c r="E29" s="183"/>
      <c r="F29" s="159"/>
      <c r="G29" s="159"/>
      <c r="H29" s="159"/>
      <c r="I29" s="159"/>
      <c r="J29" s="159"/>
      <c r="K29" s="159"/>
      <c r="L29" s="159"/>
    </row>
    <row r="30" spans="1:12" ht="14.25" x14ac:dyDescent="0.2">
      <c r="A30" s="170" t="s">
        <v>178</v>
      </c>
      <c r="B30" s="171" t="s">
        <v>181</v>
      </c>
      <c r="C30" s="174">
        <f>ROUND(('3.CAGED'!C33+'3.CAGED'!C34+'3.CAGED'!C36)/'3.CAGED'!C31*'3.CAGED'!C38*'3.CAGED'!C39*'3.CAGED'!C30/'3.CAGED'!C33,4)</f>
        <v>3.15E-2</v>
      </c>
      <c r="D30" s="175"/>
      <c r="F30" s="159"/>
      <c r="G30" s="185"/>
      <c r="H30" s="159"/>
      <c r="I30" s="159"/>
      <c r="J30" s="159"/>
      <c r="K30" s="159"/>
      <c r="L30" s="159"/>
    </row>
    <row r="31" spans="1:12" ht="14.25" x14ac:dyDescent="0.2">
      <c r="A31" s="170" t="s">
        <v>180</v>
      </c>
      <c r="B31" s="171" t="s">
        <v>182</v>
      </c>
      <c r="C31" s="174">
        <f>ROUND(('3.CAGED'!C35/'3.CAGED'!C33)*'3.CAGED'!C30/12,4)</f>
        <v>2E-3</v>
      </c>
      <c r="D31" s="175"/>
      <c r="F31" s="159"/>
      <c r="G31" s="159"/>
      <c r="H31" s="159"/>
      <c r="I31" s="159"/>
      <c r="J31" s="159"/>
      <c r="K31" s="159"/>
      <c r="L31" s="159"/>
    </row>
    <row r="32" spans="1:12" ht="15" x14ac:dyDescent="0.2">
      <c r="A32" s="170" t="s">
        <v>183</v>
      </c>
      <c r="B32" s="176" t="s">
        <v>184</v>
      </c>
      <c r="C32" s="177">
        <f>SUM(C27:C31)</f>
        <v>0.10921660000000001</v>
      </c>
      <c r="D32" s="182"/>
      <c r="F32" s="159"/>
      <c r="G32" s="159"/>
      <c r="H32" s="159"/>
      <c r="I32" s="159"/>
      <c r="J32" s="159"/>
      <c r="K32" s="159"/>
      <c r="L32" s="159"/>
    </row>
    <row r="33" spans="1:12" ht="15" x14ac:dyDescent="0.2">
      <c r="A33" s="178"/>
      <c r="B33" s="179"/>
      <c r="C33" s="180"/>
      <c r="D33" s="182"/>
      <c r="F33" s="159"/>
      <c r="G33" s="159"/>
      <c r="H33" s="159"/>
      <c r="I33" s="159"/>
      <c r="J33" s="159"/>
      <c r="K33" s="159"/>
      <c r="L33" s="159"/>
    </row>
    <row r="34" spans="1:12" ht="14.25" x14ac:dyDescent="0.2">
      <c r="A34" s="170" t="s">
        <v>185</v>
      </c>
      <c r="B34" s="171" t="s">
        <v>186</v>
      </c>
      <c r="C34" s="174">
        <f>ROUND(C17*C25,4)</f>
        <v>6.5299999999999997E-2</v>
      </c>
      <c r="D34" s="175"/>
      <c r="F34" s="159"/>
      <c r="G34" s="159"/>
      <c r="H34" s="159"/>
      <c r="I34" s="159"/>
      <c r="J34" s="159"/>
      <c r="K34" s="159"/>
      <c r="L34" s="159"/>
    </row>
    <row r="35" spans="1:12" ht="28.5" x14ac:dyDescent="0.2">
      <c r="A35" s="170" t="s">
        <v>187</v>
      </c>
      <c r="B35" s="186" t="s">
        <v>272</v>
      </c>
      <c r="C35" s="174">
        <f>ROUND((C27*C16),4)</f>
        <v>2.3E-3</v>
      </c>
      <c r="D35" s="175"/>
      <c r="F35" s="159"/>
      <c r="G35" s="159"/>
      <c r="H35" s="159"/>
      <c r="I35" s="159"/>
      <c r="J35" s="159"/>
      <c r="K35" s="159"/>
      <c r="L35" s="159"/>
    </row>
    <row r="36" spans="1:12" ht="15" x14ac:dyDescent="0.2">
      <c r="A36" s="170" t="s">
        <v>188</v>
      </c>
      <c r="B36" s="176" t="s">
        <v>189</v>
      </c>
      <c r="C36" s="177">
        <f>SUM(C34:C35)</f>
        <v>6.7599999999999993E-2</v>
      </c>
      <c r="D36" s="187"/>
      <c r="F36" s="159"/>
      <c r="G36" s="159"/>
      <c r="H36" s="159"/>
      <c r="I36" s="159"/>
      <c r="J36" s="159"/>
      <c r="K36" s="159"/>
      <c r="L36" s="159"/>
    </row>
    <row r="37" spans="1:12" ht="15.75" thickBot="1" x14ac:dyDescent="0.25">
      <c r="A37" s="188"/>
      <c r="B37" s="189" t="s">
        <v>190</v>
      </c>
      <c r="C37" s="190">
        <f>C36+C32+C25+C17</f>
        <v>0.72231660000000009</v>
      </c>
      <c r="D37" s="187"/>
      <c r="F37" s="159"/>
      <c r="G37" s="159"/>
      <c r="H37" s="159"/>
      <c r="I37" s="159"/>
      <c r="J37" s="159"/>
      <c r="K37" s="159"/>
      <c r="L37" s="159"/>
    </row>
    <row r="38" spans="1:12" ht="15" x14ac:dyDescent="0.2">
      <c r="A38" s="175"/>
      <c r="B38" s="191"/>
      <c r="C38" s="192"/>
      <c r="D38" s="193"/>
      <c r="F38" s="159"/>
      <c r="G38" s="159"/>
      <c r="H38" s="159"/>
      <c r="I38" s="159"/>
      <c r="J38" s="159"/>
      <c r="K38" s="159"/>
      <c r="L38" s="159"/>
    </row>
    <row r="39" spans="1:12" ht="14.25" x14ac:dyDescent="0.2">
      <c r="A39" s="175"/>
      <c r="B39" s="175"/>
      <c r="C39" s="194"/>
      <c r="D39" s="195"/>
      <c r="F39" s="159"/>
      <c r="G39" s="159"/>
      <c r="H39" s="159"/>
      <c r="I39" s="159"/>
      <c r="J39" s="159"/>
      <c r="K39" s="159"/>
      <c r="L39" s="159"/>
    </row>
    <row r="40" spans="1:12" ht="14.25" x14ac:dyDescent="0.2">
      <c r="A40" s="173"/>
      <c r="B40" s="173"/>
      <c r="C40" s="196"/>
      <c r="D40" s="173"/>
      <c r="F40" s="159"/>
      <c r="G40" s="159"/>
      <c r="H40" s="159"/>
      <c r="I40" s="159"/>
      <c r="J40" s="159"/>
      <c r="K40" s="159"/>
      <c r="L40" s="159"/>
    </row>
    <row r="41" spans="1:12" ht="14.25" x14ac:dyDescent="0.2">
      <c r="A41" s="173"/>
      <c r="B41" s="173"/>
      <c r="C41" s="196"/>
      <c r="D41" s="173"/>
      <c r="F41" s="159"/>
      <c r="G41" s="159"/>
      <c r="H41" s="159"/>
      <c r="I41" s="159"/>
      <c r="J41" s="159"/>
      <c r="K41" s="159"/>
      <c r="L41" s="159"/>
    </row>
    <row r="42" spans="1:12" ht="14.25" x14ac:dyDescent="0.2">
      <c r="A42" s="173"/>
      <c r="B42" s="173"/>
      <c r="C42" s="196"/>
      <c r="D42" s="173"/>
      <c r="F42" s="159"/>
      <c r="G42" s="159"/>
      <c r="H42" s="159"/>
      <c r="I42" s="159"/>
      <c r="J42" s="159"/>
      <c r="K42" s="159"/>
      <c r="L42" s="159"/>
    </row>
    <row r="43" spans="1:12" ht="15" x14ac:dyDescent="0.2">
      <c r="A43" s="173"/>
      <c r="B43" s="197"/>
      <c r="C43" s="198"/>
      <c r="D43" s="173"/>
      <c r="F43" s="159"/>
      <c r="G43" s="159"/>
      <c r="H43" s="159"/>
      <c r="I43" s="159"/>
      <c r="J43" s="159"/>
      <c r="K43" s="159"/>
      <c r="L43" s="159"/>
    </row>
    <row r="44" spans="1:12" ht="15" x14ac:dyDescent="0.2">
      <c r="A44" s="187"/>
      <c r="B44" s="197"/>
      <c r="C44" s="198"/>
      <c r="D44" s="187"/>
      <c r="E44" s="159"/>
      <c r="F44" s="159"/>
      <c r="G44" s="159"/>
      <c r="H44" s="159"/>
      <c r="I44" s="159"/>
      <c r="J44" s="159"/>
      <c r="K44" s="159"/>
      <c r="L44" s="159"/>
    </row>
    <row r="45" spans="1:12" ht="16.5" x14ac:dyDescent="0.2">
      <c r="A45" s="199"/>
      <c r="B45" s="159"/>
      <c r="C45" s="159"/>
      <c r="E45" s="159"/>
      <c r="F45" s="159"/>
      <c r="G45" s="159"/>
      <c r="H45" s="159"/>
      <c r="I45" s="159"/>
      <c r="J45" s="159"/>
      <c r="K45" s="159"/>
      <c r="L45" s="159"/>
    </row>
    <row r="46" spans="1:12" x14ac:dyDescent="0.2">
      <c r="A46" s="200"/>
      <c r="B46" s="201"/>
      <c r="C46" s="201"/>
      <c r="E46" s="159"/>
      <c r="F46" s="159"/>
      <c r="G46" s="159"/>
      <c r="H46" s="159"/>
      <c r="I46" s="159"/>
      <c r="J46" s="159"/>
      <c r="K46" s="159"/>
      <c r="L46" s="159"/>
    </row>
    <row r="47" spans="1:12" ht="14.25" x14ac:dyDescent="0.2">
      <c r="A47" s="173"/>
      <c r="B47" s="202"/>
      <c r="C47" s="201"/>
      <c r="E47" s="159"/>
      <c r="F47" s="159"/>
      <c r="G47" s="159"/>
      <c r="H47" s="159"/>
      <c r="I47" s="159"/>
      <c r="J47" s="159"/>
      <c r="K47" s="159"/>
      <c r="L47" s="159"/>
    </row>
    <row r="48" spans="1:12" ht="14.25" x14ac:dyDescent="0.2">
      <c r="A48" s="173"/>
      <c r="B48" s="202"/>
      <c r="C48" s="173"/>
      <c r="E48" s="159"/>
      <c r="F48" s="159"/>
      <c r="G48" s="159"/>
      <c r="H48" s="159"/>
      <c r="I48" s="159"/>
      <c r="J48" s="159"/>
      <c r="K48" s="159"/>
      <c r="L48" s="159"/>
    </row>
    <row r="49" spans="1:12" ht="14.25" x14ac:dyDescent="0.2">
      <c r="A49" s="173"/>
      <c r="B49" s="196"/>
      <c r="C49" s="201"/>
      <c r="E49" s="159"/>
      <c r="F49" s="159"/>
      <c r="G49" s="159"/>
      <c r="H49" s="159"/>
      <c r="I49" s="159"/>
      <c r="J49" s="159"/>
      <c r="K49" s="159"/>
      <c r="L49" s="159"/>
    </row>
    <row r="50" spans="1:12" ht="14.25" x14ac:dyDescent="0.2">
      <c r="A50" s="173"/>
      <c r="B50" s="202"/>
      <c r="C50" s="173"/>
      <c r="E50" s="159"/>
      <c r="F50" s="159"/>
      <c r="G50" s="159"/>
      <c r="H50" s="159"/>
      <c r="I50" s="159"/>
      <c r="J50" s="159"/>
      <c r="K50" s="159"/>
      <c r="L50" s="159"/>
    </row>
    <row r="51" spans="1:12" ht="14.25" x14ac:dyDescent="0.2">
      <c r="A51" s="173"/>
      <c r="B51" s="196"/>
      <c r="C51" s="201"/>
      <c r="E51" s="159"/>
      <c r="F51" s="159"/>
      <c r="G51" s="159"/>
      <c r="H51" s="159"/>
      <c r="I51" s="159"/>
      <c r="J51" s="159"/>
      <c r="K51" s="159"/>
      <c r="L51" s="159"/>
    </row>
    <row r="52" spans="1:12" ht="14.25" x14ac:dyDescent="0.2">
      <c r="A52" s="173"/>
      <c r="B52" s="202"/>
      <c r="C52" s="173"/>
      <c r="E52" s="159"/>
      <c r="F52" s="159"/>
      <c r="G52" s="159"/>
      <c r="H52" s="159"/>
      <c r="I52" s="159"/>
      <c r="J52" s="159"/>
      <c r="K52" s="159"/>
      <c r="L52" s="159"/>
    </row>
    <row r="53" spans="1:12" ht="14.25" x14ac:dyDescent="0.2">
      <c r="A53" s="173"/>
      <c r="B53" s="196"/>
      <c r="C53" s="201"/>
      <c r="E53" s="159"/>
      <c r="F53" s="159"/>
      <c r="G53" s="159"/>
      <c r="H53" s="159"/>
      <c r="I53" s="159"/>
      <c r="J53" s="159"/>
      <c r="K53" s="159"/>
      <c r="L53" s="159"/>
    </row>
    <row r="54" spans="1:12" ht="14.25" x14ac:dyDescent="0.2">
      <c r="A54" s="173"/>
      <c r="B54" s="202"/>
      <c r="C54" s="173"/>
      <c r="E54" s="159"/>
      <c r="F54" s="159"/>
      <c r="G54" s="159"/>
      <c r="H54" s="159"/>
      <c r="I54" s="159"/>
      <c r="J54" s="159"/>
      <c r="K54" s="159"/>
      <c r="L54" s="159"/>
    </row>
    <row r="55" spans="1:12" ht="14.25" x14ac:dyDescent="0.2">
      <c r="A55" s="173"/>
      <c r="B55" s="196"/>
      <c r="C55" s="201"/>
      <c r="E55" s="159"/>
      <c r="F55" s="159"/>
      <c r="G55" s="159"/>
      <c r="H55" s="159"/>
      <c r="I55" s="159"/>
      <c r="J55" s="159"/>
      <c r="K55" s="159"/>
      <c r="L55" s="159"/>
    </row>
    <row r="56" spans="1:12" ht="16.5" x14ac:dyDescent="0.2">
      <c r="A56" s="199"/>
      <c r="B56" s="159"/>
      <c r="C56" s="159"/>
      <c r="E56" s="159"/>
      <c r="F56" s="159"/>
      <c r="G56" s="159"/>
      <c r="H56" s="159"/>
      <c r="I56" s="159"/>
      <c r="J56" s="159"/>
      <c r="K56" s="159"/>
      <c r="L56" s="159"/>
    </row>
    <row r="57" spans="1:12" x14ac:dyDescent="0.2">
      <c r="A57" s="159"/>
      <c r="B57" s="159"/>
      <c r="C57" s="159"/>
      <c r="E57" s="159"/>
      <c r="F57" s="159"/>
      <c r="G57" s="159"/>
      <c r="H57" s="159"/>
      <c r="I57" s="159"/>
      <c r="J57" s="159"/>
      <c r="K57" s="159"/>
      <c r="L57" s="159"/>
    </row>
    <row r="58" spans="1:12" x14ac:dyDescent="0.2">
      <c r="A58" s="159"/>
      <c r="B58" s="159"/>
      <c r="C58" s="159"/>
      <c r="E58" s="159"/>
      <c r="F58" s="159"/>
      <c r="G58" s="159"/>
      <c r="H58" s="159"/>
      <c r="I58" s="159"/>
      <c r="J58" s="159"/>
      <c r="K58" s="159"/>
      <c r="L58" s="159"/>
    </row>
    <row r="59" spans="1:12" x14ac:dyDescent="0.2">
      <c r="A59" s="203"/>
      <c r="B59" s="159"/>
      <c r="C59" s="159"/>
      <c r="E59" s="159"/>
      <c r="F59" s="159"/>
      <c r="G59" s="159"/>
      <c r="H59" s="159"/>
      <c r="I59" s="159"/>
      <c r="J59" s="159"/>
      <c r="K59" s="159"/>
      <c r="L59" s="159"/>
    </row>
    <row r="60" spans="1:12" x14ac:dyDescent="0.2">
      <c r="A60" s="159"/>
      <c r="B60" s="159"/>
      <c r="C60" s="159"/>
      <c r="E60" s="159"/>
    </row>
    <row r="61" spans="1:12" x14ac:dyDescent="0.2">
      <c r="A61" s="159"/>
      <c r="B61" s="159"/>
      <c r="C61" s="159"/>
      <c r="E61" s="159"/>
    </row>
    <row r="62" spans="1:12" x14ac:dyDescent="0.2">
      <c r="A62" s="159"/>
      <c r="B62" s="159"/>
      <c r="C62" s="159"/>
      <c r="E62" s="159"/>
    </row>
    <row r="63" spans="1:12" x14ac:dyDescent="0.2">
      <c r="A63" s="159"/>
      <c r="B63" s="159"/>
      <c r="C63" s="159"/>
      <c r="E63" s="159"/>
    </row>
    <row r="64" spans="1:12" x14ac:dyDescent="0.2">
      <c r="A64" s="159"/>
      <c r="B64" s="159"/>
      <c r="C64" s="159"/>
      <c r="E64" s="159"/>
    </row>
    <row r="65" spans="1:5" x14ac:dyDescent="0.2">
      <c r="A65" s="159"/>
      <c r="B65" s="159"/>
      <c r="C65" s="159"/>
      <c r="E65" s="159"/>
    </row>
    <row r="66" spans="1:5" x14ac:dyDescent="0.2">
      <c r="A66" s="159"/>
      <c r="B66" s="159"/>
      <c r="C66" s="159"/>
      <c r="E66" s="159"/>
    </row>
    <row r="67" spans="1:5" x14ac:dyDescent="0.2">
      <c r="A67" s="159"/>
      <c r="B67" s="159"/>
      <c r="C67" s="159"/>
      <c r="E67" s="159"/>
    </row>
    <row r="68" spans="1:5" x14ac:dyDescent="0.2">
      <c r="A68" s="159"/>
      <c r="B68" s="159"/>
      <c r="C68" s="159"/>
      <c r="E68" s="159"/>
    </row>
  </sheetData>
  <mergeCells count="1">
    <mergeCell ref="A7:C7"/>
  </mergeCells>
  <pageMargins left="0.90551181102362199" right="0.51181102362204722" top="0.74803149606299213" bottom="0.74803149606299213" header="0.31496062992125984" footer="0.31496062992125984"/>
  <pageSetup paperSize="9" orientation="portrait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9"/>
  <sheetViews>
    <sheetView topLeftCell="A7" zoomScaleNormal="100" workbookViewId="0">
      <selection activeCell="B10" sqref="B10"/>
    </sheetView>
  </sheetViews>
  <sheetFormatPr defaultRowHeight="12.75" x14ac:dyDescent="0.2"/>
  <cols>
    <col min="1" max="1" width="8.5703125" style="1" customWidth="1"/>
    <col min="2" max="2" width="67.140625" style="1" customWidth="1"/>
    <col min="3" max="3" width="13.7109375" style="1" customWidth="1"/>
    <col min="4" max="4" width="10.28515625" style="1" customWidth="1"/>
    <col min="5" max="5" width="13.7109375" style="1" customWidth="1"/>
    <col min="6" max="16384" width="9.140625" style="1"/>
  </cols>
  <sheetData>
    <row r="1" spans="1:3" x14ac:dyDescent="0.2">
      <c r="A1" s="108"/>
    </row>
    <row r="4" spans="1:3" x14ac:dyDescent="0.2">
      <c r="A4" s="273"/>
    </row>
    <row r="5" spans="1:3" ht="25.5" customHeight="1" x14ac:dyDescent="0.2">
      <c r="A5" s="364"/>
      <c r="B5" s="365"/>
      <c r="C5" s="365"/>
    </row>
    <row r="7" spans="1:3" ht="26.25" customHeight="1" x14ac:dyDescent="0.25">
      <c r="A7" s="363" t="s">
        <v>284</v>
      </c>
      <c r="B7" s="363"/>
      <c r="C7" s="363"/>
    </row>
    <row r="9" spans="1:3" x14ac:dyDescent="0.2">
      <c r="A9" s="302"/>
      <c r="B9" s="7"/>
    </row>
    <row r="10" spans="1:3" ht="13.5" thickBot="1" x14ac:dyDescent="0.25">
      <c r="B10" s="7" t="s">
        <v>286</v>
      </c>
    </row>
    <row r="11" spans="1:3" ht="18" x14ac:dyDescent="0.25">
      <c r="B11" s="361" t="s">
        <v>224</v>
      </c>
      <c r="C11" s="362"/>
    </row>
    <row r="12" spans="1:3" ht="15" x14ac:dyDescent="0.25">
      <c r="A12" s="159"/>
      <c r="B12" s="158" t="s">
        <v>204</v>
      </c>
      <c r="C12" s="204"/>
    </row>
    <row r="13" spans="1:3" ht="15" x14ac:dyDescent="0.25">
      <c r="A13" s="159"/>
      <c r="B13" s="160" t="s">
        <v>126</v>
      </c>
      <c r="C13" s="161">
        <v>1932</v>
      </c>
    </row>
    <row r="14" spans="1:3" ht="15" x14ac:dyDescent="0.25">
      <c r="A14" s="159"/>
      <c r="B14" s="162" t="s">
        <v>127</v>
      </c>
      <c r="C14" s="161">
        <v>2197</v>
      </c>
    </row>
    <row r="15" spans="1:3" ht="14.25" x14ac:dyDescent="0.2">
      <c r="A15" s="159"/>
      <c r="B15" s="205" t="s">
        <v>128</v>
      </c>
      <c r="C15" s="206">
        <v>25</v>
      </c>
    </row>
    <row r="16" spans="1:3" ht="14.25" x14ac:dyDescent="0.2">
      <c r="A16" s="159"/>
      <c r="B16" s="205" t="s">
        <v>129</v>
      </c>
      <c r="C16" s="206">
        <v>1463</v>
      </c>
    </row>
    <row r="17" spans="1:5" ht="14.25" x14ac:dyDescent="0.2">
      <c r="A17" s="159"/>
      <c r="B17" s="205" t="s">
        <v>130</v>
      </c>
      <c r="C17" s="206">
        <v>321</v>
      </c>
    </row>
    <row r="18" spans="1:5" ht="14.25" x14ac:dyDescent="0.2">
      <c r="A18" s="159"/>
      <c r="B18" s="205" t="s">
        <v>131</v>
      </c>
      <c r="C18" s="206">
        <v>12</v>
      </c>
    </row>
    <row r="19" spans="1:5" ht="14.25" x14ac:dyDescent="0.2">
      <c r="A19" s="159"/>
      <c r="B19" s="205" t="s">
        <v>132</v>
      </c>
      <c r="C19" s="206">
        <v>339</v>
      </c>
    </row>
    <row r="20" spans="1:5" ht="14.25" x14ac:dyDescent="0.2">
      <c r="A20" s="159"/>
      <c r="B20" s="205" t="s">
        <v>133</v>
      </c>
      <c r="C20" s="206">
        <v>0</v>
      </c>
    </row>
    <row r="21" spans="1:5" ht="14.25" x14ac:dyDescent="0.2">
      <c r="A21" s="159"/>
      <c r="B21" s="205" t="s">
        <v>134</v>
      </c>
      <c r="C21" s="206">
        <v>22</v>
      </c>
    </row>
    <row r="22" spans="1:5" ht="14.25" x14ac:dyDescent="0.2">
      <c r="A22" s="159"/>
      <c r="B22" s="207" t="s">
        <v>135</v>
      </c>
      <c r="C22" s="208">
        <v>0</v>
      </c>
    </row>
    <row r="23" spans="1:5" ht="14.25" x14ac:dyDescent="0.2">
      <c r="A23" s="159"/>
      <c r="B23" s="308" t="s">
        <v>277</v>
      </c>
      <c r="C23" s="208">
        <v>0</v>
      </c>
    </row>
    <row r="24" spans="1:5" ht="15" x14ac:dyDescent="0.25">
      <c r="A24" s="159" t="s">
        <v>136</v>
      </c>
      <c r="B24" s="158" t="s">
        <v>137</v>
      </c>
      <c r="C24" s="204"/>
    </row>
    <row r="25" spans="1:5" ht="14.25" x14ac:dyDescent="0.2">
      <c r="A25" s="159"/>
      <c r="B25" s="209" t="s">
        <v>278</v>
      </c>
      <c r="C25" s="210">
        <v>5183</v>
      </c>
    </row>
    <row r="26" spans="1:5" ht="14.25" x14ac:dyDescent="0.2">
      <c r="A26" s="159"/>
      <c r="B26" s="205" t="s">
        <v>279</v>
      </c>
      <c r="C26" s="206">
        <v>4918</v>
      </c>
    </row>
    <row r="27" spans="1:5" ht="14.25" x14ac:dyDescent="0.2">
      <c r="B27" s="205" t="s">
        <v>280</v>
      </c>
      <c r="C27" s="301">
        <f>C13-C14</f>
        <v>-265</v>
      </c>
    </row>
    <row r="28" spans="1:5" ht="14.25" x14ac:dyDescent="0.2">
      <c r="B28" s="211"/>
      <c r="C28" s="212"/>
    </row>
    <row r="29" spans="1:5" s="108" customFormat="1" ht="15" x14ac:dyDescent="0.25">
      <c r="B29" s="160" t="s">
        <v>139</v>
      </c>
      <c r="C29" s="213">
        <f>MEDIAN(C25,C26)</f>
        <v>5050.5</v>
      </c>
    </row>
    <row r="30" spans="1:5" ht="15" x14ac:dyDescent="0.25">
      <c r="B30" s="162" t="s">
        <v>275</v>
      </c>
      <c r="C30" s="306">
        <f>C16/C29</f>
        <v>0.28967428967428965</v>
      </c>
    </row>
    <row r="31" spans="1:5" ht="15" x14ac:dyDescent="0.25">
      <c r="B31" s="162" t="s">
        <v>276</v>
      </c>
      <c r="C31" s="306">
        <f>MEDIAN(C13,C14)/C29</f>
        <v>0.40877140877140877</v>
      </c>
      <c r="E31" s="273"/>
    </row>
    <row r="32" spans="1:5" s="108" customFormat="1" ht="15" x14ac:dyDescent="0.25">
      <c r="B32" s="162" t="s">
        <v>240</v>
      </c>
      <c r="C32" s="304">
        <f>12/C31</f>
        <v>29.356260595785905</v>
      </c>
    </row>
    <row r="33" spans="2:3" ht="15" x14ac:dyDescent="0.25">
      <c r="B33" s="162" t="s">
        <v>138</v>
      </c>
      <c r="C33" s="164">
        <v>360</v>
      </c>
    </row>
    <row r="34" spans="2:3" ht="15" x14ac:dyDescent="0.25">
      <c r="B34" s="162" t="s">
        <v>236</v>
      </c>
      <c r="C34" s="164">
        <v>10</v>
      </c>
    </row>
    <row r="35" spans="2:3" ht="15" x14ac:dyDescent="0.25">
      <c r="B35" s="160" t="s">
        <v>237</v>
      </c>
      <c r="C35" s="163">
        <v>30</v>
      </c>
    </row>
    <row r="36" spans="2:3" ht="15" x14ac:dyDescent="0.25">
      <c r="B36" s="160" t="s">
        <v>238</v>
      </c>
      <c r="C36" s="163">
        <v>30</v>
      </c>
    </row>
    <row r="37" spans="2:3" s="108" customFormat="1" ht="15" x14ac:dyDescent="0.25">
      <c r="B37" s="160" t="s">
        <v>141</v>
      </c>
      <c r="C37" s="163">
        <f>30+(3*TRUNC(1/C31))</f>
        <v>36</v>
      </c>
    </row>
    <row r="38" spans="2:3" s="108" customFormat="1" ht="15" x14ac:dyDescent="0.25">
      <c r="B38" s="162" t="s">
        <v>40</v>
      </c>
      <c r="C38" s="305">
        <v>0.08</v>
      </c>
    </row>
    <row r="39" spans="2:3" s="108" customFormat="1" ht="15.75" thickBot="1" x14ac:dyDescent="0.3">
      <c r="B39" s="165" t="s">
        <v>140</v>
      </c>
      <c r="C39" s="307">
        <v>0.5</v>
      </c>
    </row>
  </sheetData>
  <mergeCells count="3">
    <mergeCell ref="B11:C11"/>
    <mergeCell ref="A7:C7"/>
    <mergeCell ref="A5:C5"/>
  </mergeCells>
  <pageMargins left="0.90551181102362199" right="0.51181102362204722" top="0.74803149606299213" bottom="0.74803149606299213" header="0.31496062992125984" footer="0.31496062992125984"/>
  <pageSetup paperSize="9" scale="98" orientation="portrait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4"/>
  <sheetViews>
    <sheetView zoomScaleNormal="100" workbookViewId="0">
      <selection activeCell="A7" sqref="A7"/>
    </sheetView>
  </sheetViews>
  <sheetFormatPr defaultRowHeight="12.75" x14ac:dyDescent="0.2"/>
  <cols>
    <col min="1" max="1" width="41.85546875" bestFit="1" customWidth="1"/>
    <col min="2" max="2" width="5.5703125" bestFit="1" customWidth="1"/>
    <col min="4" max="4" width="9.7109375" bestFit="1" customWidth="1"/>
    <col min="5" max="5" width="8" style="123" bestFit="1" customWidth="1"/>
    <col min="6" max="6" width="9.7109375" bestFit="1" customWidth="1"/>
  </cols>
  <sheetData>
    <row r="1" spans="1:8" s="148" customFormat="1" ht="14.25" x14ac:dyDescent="0.2">
      <c r="A1" s="11"/>
      <c r="B1" s="146"/>
      <c r="C1" s="146"/>
      <c r="E1" s="149"/>
    </row>
    <row r="2" spans="1:8" s="148" customFormat="1" ht="14.25" x14ac:dyDescent="0.2">
      <c r="A2" s="141"/>
      <c r="B2" s="146"/>
      <c r="C2" s="146"/>
      <c r="E2" s="149"/>
    </row>
    <row r="3" spans="1:8" s="148" customFormat="1" ht="14.25" x14ac:dyDescent="0.2">
      <c r="A3" s="9"/>
      <c r="B3" s="146"/>
      <c r="C3" s="146"/>
      <c r="E3" s="149"/>
    </row>
    <row r="4" spans="1:8" s="148" customFormat="1" ht="14.25" x14ac:dyDescent="0.2">
      <c r="A4" s="9"/>
      <c r="B4" s="146"/>
      <c r="C4" s="146"/>
      <c r="E4" s="149"/>
    </row>
    <row r="5" spans="1:8" s="4" customFormat="1" ht="15.6" customHeight="1" x14ac:dyDescent="0.2">
      <c r="A5" s="300"/>
      <c r="B5" s="140"/>
      <c r="C5" s="140"/>
      <c r="D5" s="140"/>
      <c r="E5" s="140"/>
      <c r="F5" s="140"/>
      <c r="G5" s="6"/>
    </row>
    <row r="6" spans="1:8" s="4" customFormat="1" ht="16.5" customHeight="1" x14ac:dyDescent="0.2">
      <c r="A6" s="312" t="s">
        <v>284</v>
      </c>
      <c r="B6" s="5"/>
      <c r="C6" s="5"/>
      <c r="D6" s="6"/>
      <c r="E6" s="6"/>
      <c r="F6" s="6"/>
      <c r="G6" s="6"/>
    </row>
    <row r="7" spans="1:8" s="148" customFormat="1" ht="15" thickBot="1" x14ac:dyDescent="0.25">
      <c r="A7" s="7" t="s">
        <v>286</v>
      </c>
      <c r="B7" s="146"/>
      <c r="C7" s="146"/>
      <c r="E7" s="149"/>
    </row>
    <row r="8" spans="1:8" ht="15.75" x14ac:dyDescent="0.2">
      <c r="A8" s="371" t="s">
        <v>225</v>
      </c>
      <c r="B8" s="372"/>
      <c r="C8" s="372"/>
      <c r="D8" s="372"/>
      <c r="E8" s="372"/>
      <c r="F8" s="373"/>
    </row>
    <row r="9" spans="1:8" ht="16.5" thickBot="1" x14ac:dyDescent="0.25">
      <c r="A9" s="258"/>
      <c r="B9" s="259"/>
      <c r="C9" s="259"/>
      <c r="D9" s="259"/>
      <c r="E9" s="259"/>
      <c r="F9" s="260"/>
    </row>
    <row r="10" spans="1:8" ht="15" x14ac:dyDescent="0.25">
      <c r="A10" s="214"/>
      <c r="B10" s="147"/>
      <c r="C10" s="147"/>
      <c r="D10" s="368" t="s">
        <v>239</v>
      </c>
      <c r="E10" s="369"/>
      <c r="F10" s="370"/>
      <c r="G10" s="148"/>
      <c r="H10" s="148"/>
    </row>
    <row r="11" spans="1:8" ht="15" thickBot="1" x14ac:dyDescent="0.25">
      <c r="A11" s="211"/>
      <c r="B11" s="215"/>
      <c r="C11" s="215"/>
      <c r="D11" s="216" t="s">
        <v>191</v>
      </c>
      <c r="E11" s="217" t="s">
        <v>192</v>
      </c>
      <c r="F11" s="218" t="s">
        <v>193</v>
      </c>
      <c r="G11" s="148"/>
      <c r="H11" s="148"/>
    </row>
    <row r="12" spans="1:8" ht="14.25" x14ac:dyDescent="0.2">
      <c r="A12" s="219" t="s">
        <v>75</v>
      </c>
      <c r="B12" s="220" t="s">
        <v>76</v>
      </c>
      <c r="C12" s="221">
        <v>0.04</v>
      </c>
      <c r="D12" s="242">
        <v>2.9700000000000001E-2</v>
      </c>
      <c r="E12" s="243">
        <v>5.0799999999999998E-2</v>
      </c>
      <c r="F12" s="244">
        <v>6.2700000000000006E-2</v>
      </c>
      <c r="G12" s="148"/>
      <c r="H12" s="148"/>
    </row>
    <row r="13" spans="1:8" ht="14.25" x14ac:dyDescent="0.2">
      <c r="A13" s="223" t="s">
        <v>77</v>
      </c>
      <c r="B13" s="224" t="s">
        <v>78</v>
      </c>
      <c r="C13" s="225">
        <v>0.02</v>
      </c>
      <c r="D13" s="242">
        <f>0.3%+0.56%</f>
        <v>8.6E-3</v>
      </c>
      <c r="E13" s="243">
        <f>0.48%+0.85%</f>
        <v>1.3299999999999999E-2</v>
      </c>
      <c r="F13" s="244">
        <f>0.82%+0.89%</f>
        <v>1.7099999999999997E-2</v>
      </c>
      <c r="G13" s="148"/>
      <c r="H13" s="148"/>
    </row>
    <row r="14" spans="1:8" ht="14.25" x14ac:dyDescent="0.2">
      <c r="A14" s="223" t="s">
        <v>79</v>
      </c>
      <c r="B14" s="224" t="s">
        <v>80</v>
      </c>
      <c r="C14" s="225">
        <v>0.15</v>
      </c>
      <c r="D14" s="242">
        <v>7.7799999999999994E-2</v>
      </c>
      <c r="E14" s="243">
        <v>0.1085</v>
      </c>
      <c r="F14" s="244">
        <v>0.13550000000000001</v>
      </c>
      <c r="G14" s="148"/>
      <c r="H14" s="148"/>
    </row>
    <row r="15" spans="1:8" ht="14.25" x14ac:dyDescent="0.2">
      <c r="A15" s="223" t="s">
        <v>81</v>
      </c>
      <c r="B15" s="224" t="s">
        <v>82</v>
      </c>
      <c r="C15" s="226">
        <f>(1+E15)^(E16/252)-1</f>
        <v>2.5021250698071817E-3</v>
      </c>
      <c r="D15" s="242" t="s">
        <v>270</v>
      </c>
      <c r="E15" s="227">
        <v>6.5000000000000002E-2</v>
      </c>
      <c r="F15" s="222"/>
      <c r="G15" s="148"/>
      <c r="H15" s="148"/>
    </row>
    <row r="16" spans="1:8" ht="14.25" x14ac:dyDescent="0.2">
      <c r="A16" s="223" t="s">
        <v>83</v>
      </c>
      <c r="B16" s="366" t="s">
        <v>84</v>
      </c>
      <c r="C16" s="225">
        <v>0.04</v>
      </c>
      <c r="D16" s="296" t="s">
        <v>194</v>
      </c>
      <c r="E16" s="228">
        <v>10</v>
      </c>
      <c r="F16" s="229"/>
      <c r="G16" s="148"/>
      <c r="H16" s="148"/>
    </row>
    <row r="17" spans="1:8" ht="15" thickBot="1" x14ac:dyDescent="0.25">
      <c r="A17" s="230" t="s">
        <v>85</v>
      </c>
      <c r="B17" s="367"/>
      <c r="C17" s="231">
        <v>3.6499999999999998E-2</v>
      </c>
      <c r="D17" s="205"/>
      <c r="E17" s="232"/>
      <c r="F17" s="229"/>
      <c r="G17" s="148"/>
      <c r="H17" s="148"/>
    </row>
    <row r="18" spans="1:8" ht="14.25" x14ac:dyDescent="0.2">
      <c r="A18" s="233" t="s">
        <v>86</v>
      </c>
      <c r="B18" s="234"/>
      <c r="C18" s="235"/>
      <c r="D18" s="205"/>
      <c r="E18" s="232"/>
      <c r="F18" s="229"/>
      <c r="G18" s="148"/>
      <c r="H18" s="148"/>
    </row>
    <row r="19" spans="1:8" ht="15" thickBot="1" x14ac:dyDescent="0.25">
      <c r="A19" s="236" t="s">
        <v>87</v>
      </c>
      <c r="B19" s="237"/>
      <c r="C19" s="238"/>
      <c r="D19" s="205"/>
      <c r="E19" s="232"/>
      <c r="F19" s="229"/>
      <c r="G19" s="148"/>
      <c r="H19" s="148"/>
    </row>
    <row r="20" spans="1:8" ht="15.75" thickBot="1" x14ac:dyDescent="0.25">
      <c r="A20" s="239" t="s">
        <v>88</v>
      </c>
      <c r="B20" s="240"/>
      <c r="C20" s="241">
        <f>ROUND((((1+C12+C13)*(1+C14)*(1+C15))/(1-(C16+C17))-1),4)</f>
        <v>0.32329999999999998</v>
      </c>
      <c r="D20" s="245">
        <v>0.21429999999999999</v>
      </c>
      <c r="E20" s="246">
        <v>0.2717</v>
      </c>
      <c r="F20" s="247">
        <v>0.3362</v>
      </c>
      <c r="G20" s="148"/>
      <c r="H20" s="148"/>
    </row>
    <row r="21" spans="1:8" ht="14.25" x14ac:dyDescent="0.2">
      <c r="A21" s="148"/>
      <c r="B21" s="148"/>
      <c r="C21" s="148"/>
      <c r="D21" s="148"/>
      <c r="E21" s="149"/>
      <c r="F21" s="148"/>
      <c r="G21" s="148"/>
      <c r="H21" s="148"/>
    </row>
    <row r="22" spans="1:8" ht="14.25" x14ac:dyDescent="0.2">
      <c r="A22" s="148"/>
      <c r="B22" s="148"/>
      <c r="C22" s="148"/>
      <c r="D22" s="148"/>
      <c r="E22" s="149"/>
      <c r="F22" s="148"/>
      <c r="G22" s="148"/>
      <c r="H22" s="148"/>
    </row>
    <row r="23" spans="1:8" ht="14.25" x14ac:dyDescent="0.2">
      <c r="A23" s="148"/>
      <c r="B23" s="148"/>
      <c r="C23" s="148"/>
      <c r="D23" s="148"/>
      <c r="E23" s="149"/>
      <c r="F23" s="148"/>
      <c r="G23" s="148"/>
      <c r="H23" s="148"/>
    </row>
    <row r="24" spans="1:8" ht="14.25" x14ac:dyDescent="0.2">
      <c r="A24" s="148"/>
      <c r="B24" s="148"/>
      <c r="C24" s="148"/>
      <c r="D24" s="148"/>
      <c r="E24" s="149"/>
      <c r="F24" s="148"/>
      <c r="G24" s="148"/>
      <c r="H24" s="148"/>
    </row>
  </sheetData>
  <mergeCells count="3">
    <mergeCell ref="B16:B17"/>
    <mergeCell ref="D10:F10"/>
    <mergeCell ref="A8:F8"/>
  </mergeCells>
  <pageMargins left="0.90551181102362199" right="0.51181102362204722" top="0.74803149606299213" bottom="0.74803149606299213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7"/>
  <sheetViews>
    <sheetView workbookViewId="0">
      <selection activeCell="A2" sqref="A2"/>
    </sheetView>
  </sheetViews>
  <sheetFormatPr defaultRowHeight="19.5" customHeight="1" x14ac:dyDescent="0.2"/>
  <cols>
    <col min="1" max="1" width="24.5703125" style="1" customWidth="1"/>
    <col min="2" max="2" width="28.42578125" style="1" customWidth="1"/>
    <col min="3" max="16384" width="9.140625" style="1"/>
  </cols>
  <sheetData>
    <row r="1" spans="1:2" ht="39" customHeight="1" thickBot="1" x14ac:dyDescent="0.25">
      <c r="A1" s="374" t="s">
        <v>285</v>
      </c>
      <c r="B1" s="375"/>
    </row>
    <row r="2" spans="1:2" s="108" customFormat="1" ht="19.5" customHeight="1" x14ac:dyDescent="0.2">
      <c r="A2" s="261" t="s">
        <v>205</v>
      </c>
      <c r="B2" s="262" t="s">
        <v>271</v>
      </c>
    </row>
    <row r="3" spans="1:2" ht="19.5" customHeight="1" x14ac:dyDescent="0.2">
      <c r="A3" s="167">
        <v>1</v>
      </c>
      <c r="B3" s="166">
        <v>33.629999999999995</v>
      </c>
    </row>
    <row r="4" spans="1:2" ht="19.5" customHeight="1" x14ac:dyDescent="0.2">
      <c r="A4" s="167">
        <v>2</v>
      </c>
      <c r="B4" s="166">
        <v>43.13</v>
      </c>
    </row>
    <row r="5" spans="1:2" ht="19.5" customHeight="1" x14ac:dyDescent="0.2">
      <c r="A5" s="167">
        <v>3</v>
      </c>
      <c r="B5" s="166">
        <v>48.68</v>
      </c>
    </row>
    <row r="6" spans="1:2" ht="19.5" customHeight="1" x14ac:dyDescent="0.2">
      <c r="A6" s="167">
        <v>4</v>
      </c>
      <c r="B6" s="166">
        <v>52.62</v>
      </c>
    </row>
    <row r="7" spans="1:2" ht="19.5" customHeight="1" x14ac:dyDescent="0.2">
      <c r="A7" s="167">
        <v>5</v>
      </c>
      <c r="B7" s="166">
        <v>55.679999999999993</v>
      </c>
    </row>
    <row r="8" spans="1:2" ht="19.5" customHeight="1" x14ac:dyDescent="0.2">
      <c r="A8" s="167">
        <v>6</v>
      </c>
      <c r="B8" s="166">
        <v>58.18</v>
      </c>
    </row>
    <row r="9" spans="1:2" ht="19.5" customHeight="1" x14ac:dyDescent="0.2">
      <c r="A9" s="167">
        <v>7</v>
      </c>
      <c r="B9" s="166">
        <v>60.29</v>
      </c>
    </row>
    <row r="10" spans="1:2" ht="19.5" customHeight="1" x14ac:dyDescent="0.2">
      <c r="A10" s="167">
        <v>8</v>
      </c>
      <c r="B10" s="166">
        <v>62.12</v>
      </c>
    </row>
    <row r="11" spans="1:2" ht="19.5" customHeight="1" x14ac:dyDescent="0.2">
      <c r="A11" s="167">
        <v>9</v>
      </c>
      <c r="B11" s="166">
        <v>63.73</v>
      </c>
    </row>
    <row r="12" spans="1:2" ht="19.5" customHeight="1" x14ac:dyDescent="0.2">
      <c r="A12" s="167">
        <v>10</v>
      </c>
      <c r="B12" s="166">
        <v>65.180000000000007</v>
      </c>
    </row>
    <row r="13" spans="1:2" ht="19.5" customHeight="1" x14ac:dyDescent="0.2">
      <c r="A13" s="167">
        <v>11</v>
      </c>
      <c r="B13" s="166">
        <v>66.47999999999999</v>
      </c>
    </row>
    <row r="14" spans="1:2" ht="19.5" customHeight="1" x14ac:dyDescent="0.2">
      <c r="A14" s="167">
        <v>12</v>
      </c>
      <c r="B14" s="166">
        <v>67.67</v>
      </c>
    </row>
    <row r="15" spans="1:2" ht="19.5" customHeight="1" x14ac:dyDescent="0.2">
      <c r="A15" s="167">
        <v>13</v>
      </c>
      <c r="B15" s="166">
        <v>68.77</v>
      </c>
    </row>
    <row r="16" spans="1:2" ht="19.5" customHeight="1" x14ac:dyDescent="0.2">
      <c r="A16" s="167">
        <v>14</v>
      </c>
      <c r="B16" s="166">
        <v>69.789999999999992</v>
      </c>
    </row>
    <row r="17" spans="1:2" ht="19.5" customHeight="1" thickBot="1" x14ac:dyDescent="0.25">
      <c r="A17" s="168">
        <v>15</v>
      </c>
      <c r="B17" s="169">
        <v>70.73</v>
      </c>
    </row>
  </sheetData>
  <mergeCells count="1">
    <mergeCell ref="A1:B1"/>
  </mergeCells>
  <pageMargins left="0.90551181102362199" right="0.51181102362204722" top="0.74803149606299213" bottom="0.74803149606299213" header="0.31496062992125984" footer="0.31496062992125984"/>
  <pageSetup paperSize="9" orientation="portrait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7"/>
  <sheetViews>
    <sheetView workbookViewId="0">
      <selection activeCell="A13" sqref="A13"/>
    </sheetView>
  </sheetViews>
  <sheetFormatPr defaultRowHeight="12.75" x14ac:dyDescent="0.2"/>
  <cols>
    <col min="1" max="1" width="70.42578125" style="1" customWidth="1"/>
    <col min="2" max="3" width="9.140625" style="1"/>
    <col min="4" max="4" width="12.85546875" style="1" bestFit="1" customWidth="1"/>
    <col min="5" max="16384" width="9.140625" style="1"/>
  </cols>
  <sheetData>
    <row r="1" spans="1:1" ht="18" x14ac:dyDescent="0.25">
      <c r="A1" s="251" t="s">
        <v>230</v>
      </c>
    </row>
    <row r="2" spans="1:1" x14ac:dyDescent="0.2">
      <c r="A2" s="248"/>
    </row>
    <row r="3" spans="1:1" x14ac:dyDescent="0.2">
      <c r="A3" s="248" t="s">
        <v>241</v>
      </c>
    </row>
    <row r="4" spans="1:1" x14ac:dyDescent="0.2">
      <c r="A4" s="248"/>
    </row>
    <row r="5" spans="1:1" x14ac:dyDescent="0.2">
      <c r="A5" s="248"/>
    </row>
    <row r="6" spans="1:1" x14ac:dyDescent="0.2">
      <c r="A6" s="248"/>
    </row>
    <row r="7" spans="1:1" x14ac:dyDescent="0.2">
      <c r="A7" s="248"/>
    </row>
    <row r="8" spans="1:1" x14ac:dyDescent="0.2">
      <c r="A8" s="248"/>
    </row>
    <row r="9" spans="1:1" x14ac:dyDescent="0.2">
      <c r="A9" s="248"/>
    </row>
    <row r="10" spans="1:1" x14ac:dyDescent="0.2">
      <c r="A10" s="248"/>
    </row>
    <row r="11" spans="1:1" x14ac:dyDescent="0.2">
      <c r="A11" s="248"/>
    </row>
    <row r="12" spans="1:1" ht="19.5" x14ac:dyDescent="0.35">
      <c r="A12" s="249" t="s">
        <v>227</v>
      </c>
    </row>
    <row r="13" spans="1:1" ht="15" x14ac:dyDescent="0.2">
      <c r="A13" s="249" t="s">
        <v>287</v>
      </c>
    </row>
    <row r="14" spans="1:1" ht="15" x14ac:dyDescent="0.2">
      <c r="A14" s="249" t="s">
        <v>115</v>
      </c>
    </row>
    <row r="15" spans="1:1" ht="19.5" x14ac:dyDescent="0.35">
      <c r="A15" s="249" t="s">
        <v>228</v>
      </c>
    </row>
    <row r="16" spans="1:1" ht="19.5" x14ac:dyDescent="0.35">
      <c r="A16" s="249" t="s">
        <v>229</v>
      </c>
    </row>
    <row r="17" spans="1:1" ht="15.75" thickBot="1" x14ac:dyDescent="0.25">
      <c r="A17" s="250" t="s">
        <v>111</v>
      </c>
    </row>
  </sheetData>
  <pageMargins left="0.90551181102362199" right="0.51181102362204722" top="0.74803149606299213" bottom="0.74803149606299213" header="0.31496062992125984" footer="0.31496062992125984"/>
  <pageSetup paperSize="9" orientation="portrait" verticalDpi="597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4"/>
  <sheetViews>
    <sheetView topLeftCell="A4" zoomScaleNormal="100" workbookViewId="0">
      <selection activeCell="C13" sqref="C13"/>
    </sheetView>
  </sheetViews>
  <sheetFormatPr defaultRowHeight="12.75" x14ac:dyDescent="0.2"/>
  <cols>
    <col min="1" max="1" width="58.28515625" style="273" customWidth="1"/>
    <col min="2" max="2" width="11.140625" style="273" bestFit="1" customWidth="1"/>
    <col min="3" max="3" width="11.28515625" style="273" bestFit="1" customWidth="1"/>
    <col min="4" max="16384" width="9.140625" style="273"/>
  </cols>
  <sheetData>
    <row r="1" spans="1:7" x14ac:dyDescent="0.2">
      <c r="A1" s="11"/>
    </row>
    <row r="2" spans="1:7" x14ac:dyDescent="0.2">
      <c r="A2" s="278"/>
    </row>
    <row r="3" spans="1:7" x14ac:dyDescent="0.2">
      <c r="A3" s="278"/>
    </row>
    <row r="5" spans="1:7" x14ac:dyDescent="0.2">
      <c r="A5" s="118" t="s">
        <v>284</v>
      </c>
    </row>
    <row r="6" spans="1:7" s="4" customFormat="1" ht="15.6" customHeight="1" x14ac:dyDescent="0.2">
      <c r="A6" s="300"/>
      <c r="B6" s="140"/>
      <c r="C6" s="140"/>
      <c r="D6" s="140"/>
      <c r="E6" s="140"/>
      <c r="F6" s="140"/>
      <c r="G6" s="6"/>
    </row>
    <row r="7" spans="1:7" s="4" customFormat="1" ht="16.5" customHeight="1" x14ac:dyDescent="0.2">
      <c r="A7" s="7" t="s">
        <v>286</v>
      </c>
      <c r="B7" s="5"/>
      <c r="C7" s="5"/>
      <c r="D7" s="6"/>
      <c r="E7" s="6"/>
      <c r="F7" s="6"/>
      <c r="G7" s="6"/>
    </row>
    <row r="8" spans="1:7" ht="13.5" thickBot="1" x14ac:dyDescent="0.25"/>
    <row r="9" spans="1:7" ht="18" x14ac:dyDescent="0.25">
      <c r="A9" s="376" t="s">
        <v>267</v>
      </c>
      <c r="B9" s="377"/>
      <c r="C9" s="378"/>
    </row>
    <row r="10" spans="1:7" s="279" customFormat="1" ht="18" x14ac:dyDescent="0.25">
      <c r="A10" s="293"/>
      <c r="B10" s="292"/>
      <c r="C10" s="294"/>
    </row>
    <row r="11" spans="1:7" s="108" customFormat="1" ht="15" x14ac:dyDescent="0.25">
      <c r="A11" s="280" t="s">
        <v>268</v>
      </c>
      <c r="B11" s="281" t="s">
        <v>248</v>
      </c>
      <c r="C11" s="282" t="s">
        <v>144</v>
      </c>
    </row>
    <row r="12" spans="1:7" ht="14.25" x14ac:dyDescent="0.2">
      <c r="A12" s="283" t="s">
        <v>256</v>
      </c>
      <c r="B12" s="284" t="s">
        <v>249</v>
      </c>
      <c r="C12" s="206">
        <v>3906</v>
      </c>
    </row>
    <row r="13" spans="1:7" ht="14.25" x14ac:dyDescent="0.2">
      <c r="A13" s="205" t="s">
        <v>257</v>
      </c>
      <c r="B13" s="285" t="s">
        <v>254</v>
      </c>
      <c r="C13" s="341">
        <f>0.0362741*C12^0.2336249</f>
        <v>0.25044636407237902</v>
      </c>
    </row>
    <row r="14" spans="1:7" ht="14.25" x14ac:dyDescent="0.2">
      <c r="A14" s="205" t="s">
        <v>258</v>
      </c>
      <c r="B14" s="285" t="s">
        <v>255</v>
      </c>
      <c r="C14" s="286">
        <f>C12*C13/1000</f>
        <v>0.97824349806671251</v>
      </c>
    </row>
    <row r="15" spans="1:7" ht="14.25" x14ac:dyDescent="0.2">
      <c r="A15" s="205" t="s">
        <v>264</v>
      </c>
      <c r="B15" s="285" t="s">
        <v>250</v>
      </c>
      <c r="C15" s="287">
        <f>(C14*30)</f>
        <v>29.347304942001376</v>
      </c>
    </row>
    <row r="16" spans="1:7" ht="14.25" x14ac:dyDescent="0.2">
      <c r="A16" s="205" t="s">
        <v>260</v>
      </c>
      <c r="B16" s="285" t="s">
        <v>92</v>
      </c>
      <c r="C16" s="290">
        <v>4</v>
      </c>
    </row>
    <row r="17" spans="1:3" ht="14.25" x14ac:dyDescent="0.2">
      <c r="A17" s="205" t="s">
        <v>259</v>
      </c>
      <c r="B17" s="285" t="s">
        <v>255</v>
      </c>
      <c r="C17" s="286">
        <f>IFERROR(C14*7/C16,0)</f>
        <v>1.711926121616747</v>
      </c>
    </row>
    <row r="18" spans="1:3" ht="14.25" x14ac:dyDescent="0.2">
      <c r="A18" s="283" t="s">
        <v>251</v>
      </c>
      <c r="B18" s="285" t="s">
        <v>252</v>
      </c>
      <c r="C18" s="229">
        <v>500</v>
      </c>
    </row>
    <row r="19" spans="1:3" ht="14.25" x14ac:dyDescent="0.2">
      <c r="A19" s="205" t="s">
        <v>265</v>
      </c>
      <c r="B19" s="285"/>
      <c r="C19" s="206">
        <v>1</v>
      </c>
    </row>
    <row r="20" spans="1:3" ht="14.25" x14ac:dyDescent="0.2">
      <c r="A20" s="283" t="s">
        <v>266</v>
      </c>
      <c r="B20" s="285" t="s">
        <v>253</v>
      </c>
      <c r="C20" s="206">
        <v>8</v>
      </c>
    </row>
    <row r="21" spans="1:3" ht="14.25" x14ac:dyDescent="0.2">
      <c r="A21" s="205" t="s">
        <v>261</v>
      </c>
      <c r="B21" s="285" t="s">
        <v>250</v>
      </c>
      <c r="C21" s="229">
        <f>IF(AND(C20&gt;=15,C19=1),5.8,C20/2)</f>
        <v>4</v>
      </c>
    </row>
    <row r="22" spans="1:3" ht="14.25" x14ac:dyDescent="0.2">
      <c r="A22" s="283" t="s">
        <v>262</v>
      </c>
      <c r="B22" s="285"/>
      <c r="C22" s="286">
        <f>IFERROR(C17/C21,0)</f>
        <v>0.42798153040418674</v>
      </c>
    </row>
    <row r="23" spans="1:3" ht="14.25" x14ac:dyDescent="0.2">
      <c r="A23" s="283" t="s">
        <v>269</v>
      </c>
      <c r="B23" s="285"/>
      <c r="C23" s="295">
        <v>1</v>
      </c>
    </row>
    <row r="24" spans="1:3" ht="15" thickBot="1" x14ac:dyDescent="0.25">
      <c r="A24" s="288" t="s">
        <v>263</v>
      </c>
      <c r="B24" s="289"/>
      <c r="C24" s="291">
        <f>IFERROR(C22/C23,0)</f>
        <v>0.42798153040418674</v>
      </c>
    </row>
  </sheetData>
  <mergeCells count="1">
    <mergeCell ref="A9:C9"/>
  </mergeCells>
  <conditionalFormatting sqref="C21">
    <cfRule type="expression" dxfId="0" priority="1">
      <formula>"SE(E(C20&gt;=15;C19=1))"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5</vt:i4>
      </vt:variant>
    </vt:vector>
  </HeadingPairs>
  <TitlesOfParts>
    <vt:vector size="12" baseType="lpstr">
      <vt:lpstr>1. Coleta Domiciliar - Urbano</vt:lpstr>
      <vt:lpstr>2.Encargos Sociais</vt:lpstr>
      <vt:lpstr>3.CAGED</vt:lpstr>
      <vt:lpstr>4.BDI</vt:lpstr>
      <vt:lpstr>5. Depreciação</vt:lpstr>
      <vt:lpstr>6.Remuneração de capital</vt:lpstr>
      <vt:lpstr>7. Dimensionamento</vt:lpstr>
      <vt:lpstr>AbaDeprec</vt:lpstr>
      <vt:lpstr>AbaRemun</vt:lpstr>
      <vt:lpstr>'1. Coleta Domiciliar - Urbano'!Area_de_impressao</vt:lpstr>
      <vt:lpstr>'2.Encargos Sociais'!Area_de_impressao</vt:lpstr>
      <vt:lpstr>'1. Coleta Domiciliar - Urbano'!Titulos_de_impressao</vt:lpstr>
    </vt:vector>
  </TitlesOfParts>
  <Company>dmlu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Custos Coleta e Transporte RSU</dc:title>
  <dc:creator>Flavia Burmeister Martins</dc:creator>
  <cp:lastModifiedBy>Elias Ori Machado</cp:lastModifiedBy>
  <cp:lastPrinted>2019-08-26T12:49:36Z</cp:lastPrinted>
  <dcterms:created xsi:type="dcterms:W3CDTF">2000-12-13T10:02:50Z</dcterms:created>
  <dcterms:modified xsi:type="dcterms:W3CDTF">2019-10-01T13:09:19Z</dcterms:modified>
</cp:coreProperties>
</file>