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192.168.0.1\Licitações\LICITAÇÕES 2023\Concorrência\CP_04_2023_Coleta de resíduos sólidos\"/>
    </mc:Choice>
  </mc:AlternateContent>
  <xr:revisionPtr revIDLastSave="0" documentId="13_ncr:1_{1769298C-61E8-4EED-A6FE-5C186636827F}" xr6:coauthVersionLast="47" xr6:coauthVersionMax="47" xr10:uidLastSave="{00000000-0000-0000-0000-000000000000}"/>
  <bookViews>
    <workbookView xWindow="28680" yWindow="2355" windowWidth="20730" windowHeight="11040" tabRatio="500" xr2:uid="{00000000-000D-0000-FFFF-FFFF00000000}"/>
  </bookViews>
  <sheets>
    <sheet name="1. Coleta Domiciliar - Rural" sheetId="1" r:id="rId1"/>
    <sheet name="2.Encargos Sociais" sheetId="2" r:id="rId2"/>
    <sheet name="3.CAGED" sheetId="3" r:id="rId3"/>
    <sheet name="4.BDI" sheetId="4" r:id="rId4"/>
    <sheet name="5. Depreciação" sheetId="5" r:id="rId5"/>
    <sheet name="6.Remuneração de capital" sheetId="6" r:id="rId6"/>
    <sheet name="7. Dimensionamento" sheetId="7" r:id="rId7"/>
  </sheets>
  <definedNames>
    <definedName name="AbaDeprec">'5. Depreciação'!$A$1</definedName>
    <definedName name="AbaRemun">'6.Remuneração de capital'!$A$1</definedName>
    <definedName name="_xlnm.Print_Area" localSheetId="0">'1. Coleta Domiciliar - Rural'!$A$11:$F$299</definedName>
    <definedName name="_xlnm.Print_Area" localSheetId="1">'2.Encargos Sociais'!$A$1:$C$39</definedName>
    <definedName name="_xlnm.Print_Titles" localSheetId="0">'1. Coleta Domiciliar - Rural'!$1:$8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" i="7" l="1"/>
  <c r="C16" i="7"/>
  <c r="C17" i="7" s="1"/>
  <c r="C18" i="7" s="1"/>
  <c r="C20" i="4"/>
  <c r="C288" i="1" s="1"/>
  <c r="C15" i="4"/>
  <c r="F13" i="4"/>
  <c r="E13" i="4"/>
  <c r="D13" i="4"/>
  <c r="C31" i="3"/>
  <c r="C37" i="3" s="1"/>
  <c r="C27" i="2" s="1"/>
  <c r="C30" i="3"/>
  <c r="C29" i="3"/>
  <c r="C27" i="3"/>
  <c r="C31" i="2"/>
  <c r="C20" i="2"/>
  <c r="C17" i="2"/>
  <c r="E278" i="1"/>
  <c r="D277" i="1"/>
  <c r="E277" i="1" s="1"/>
  <c r="F278" i="1" s="1"/>
  <c r="F280" i="1" s="1"/>
  <c r="E34" i="1" s="1"/>
  <c r="E276" i="1"/>
  <c r="C276" i="1"/>
  <c r="E268" i="1"/>
  <c r="E267" i="1"/>
  <c r="E266" i="1"/>
  <c r="E265" i="1"/>
  <c r="F269" i="1" s="1"/>
  <c r="F271" i="1" s="1"/>
  <c r="E33" i="1" s="1"/>
  <c r="E264" i="1"/>
  <c r="C255" i="1"/>
  <c r="D254" i="1"/>
  <c r="E254" i="1" s="1"/>
  <c r="D255" i="1" s="1"/>
  <c r="E255" i="1" s="1"/>
  <c r="F256" i="1" s="1"/>
  <c r="E32" i="1" s="1"/>
  <c r="E253" i="1"/>
  <c r="C253" i="1"/>
  <c r="E251" i="1"/>
  <c r="D240" i="1"/>
  <c r="D238" i="1"/>
  <c r="D236" i="1"/>
  <c r="D241" i="1" s="1"/>
  <c r="D234" i="1"/>
  <c r="C234" i="1"/>
  <c r="E234" i="1" s="1"/>
  <c r="D232" i="1"/>
  <c r="C232" i="1"/>
  <c r="C236" i="1" s="1"/>
  <c r="E236" i="1" s="1"/>
  <c r="E224" i="1"/>
  <c r="E222" i="1"/>
  <c r="C222" i="1"/>
  <c r="C221" i="1"/>
  <c r="E221" i="1" s="1"/>
  <c r="C220" i="1"/>
  <c r="E216" i="1"/>
  <c r="C215" i="1"/>
  <c r="C211" i="1"/>
  <c r="C212" i="1" s="1"/>
  <c r="C210" i="1"/>
  <c r="D209" i="1"/>
  <c r="C209" i="1"/>
  <c r="E209" i="1" s="1"/>
  <c r="C206" i="1"/>
  <c r="E204" i="1"/>
  <c r="D204" i="1"/>
  <c r="E200" i="1"/>
  <c r="E197" i="1"/>
  <c r="C197" i="1"/>
  <c r="D196" i="1"/>
  <c r="E196" i="1" s="1"/>
  <c r="D197" i="1" s="1"/>
  <c r="E193" i="1"/>
  <c r="C193" i="1"/>
  <c r="C192" i="1"/>
  <c r="E188" i="1"/>
  <c r="E178" i="1"/>
  <c r="E176" i="1"/>
  <c r="E175" i="1"/>
  <c r="D175" i="1"/>
  <c r="D174" i="1"/>
  <c r="E174" i="1" s="1"/>
  <c r="E173" i="1"/>
  <c r="D173" i="1"/>
  <c r="D172" i="1"/>
  <c r="E172" i="1" s="1"/>
  <c r="E171" i="1"/>
  <c r="D171" i="1"/>
  <c r="D170" i="1"/>
  <c r="E170" i="1" s="1"/>
  <c r="E165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D164" i="1" s="1"/>
  <c r="E151" i="1"/>
  <c r="E142" i="1"/>
  <c r="F142" i="1" s="1"/>
  <c r="E141" i="1"/>
  <c r="E140" i="1"/>
  <c r="A140" i="1"/>
  <c r="D135" i="1"/>
  <c r="C135" i="1"/>
  <c r="E135" i="1" s="1"/>
  <c r="A135" i="1"/>
  <c r="A141" i="1" s="1"/>
  <c r="D134" i="1"/>
  <c r="C134" i="1"/>
  <c r="E134" i="1" s="1"/>
  <c r="F136" i="1" s="1"/>
  <c r="E22" i="1" s="1"/>
  <c r="A134" i="1"/>
  <c r="D129" i="1"/>
  <c r="E129" i="1" s="1"/>
  <c r="C129" i="1"/>
  <c r="C128" i="1"/>
  <c r="E122" i="1"/>
  <c r="D117" i="1"/>
  <c r="C117" i="1"/>
  <c r="E117" i="1" s="1"/>
  <c r="D114" i="1"/>
  <c r="E114" i="1" s="1"/>
  <c r="C114" i="1"/>
  <c r="D112" i="1"/>
  <c r="E112" i="1" s="1"/>
  <c r="E111" i="1"/>
  <c r="D111" i="1"/>
  <c r="C111" i="1"/>
  <c r="D109" i="1"/>
  <c r="E109" i="1" s="1"/>
  <c r="D115" i="1" s="1"/>
  <c r="E115" i="1" s="1"/>
  <c r="C108" i="1"/>
  <c r="D106" i="1"/>
  <c r="E105" i="1"/>
  <c r="D105" i="1"/>
  <c r="D108" i="1" s="1"/>
  <c r="E108" i="1" s="1"/>
  <c r="E101" i="1"/>
  <c r="E93" i="1"/>
  <c r="D93" i="1"/>
  <c r="D92" i="1"/>
  <c r="E92" i="1" s="1"/>
  <c r="E90" i="1"/>
  <c r="E86" i="1"/>
  <c r="C81" i="1"/>
  <c r="D79" i="1"/>
  <c r="E79" i="1" s="1"/>
  <c r="C79" i="1"/>
  <c r="D77" i="1"/>
  <c r="E77" i="1" s="1"/>
  <c r="E76" i="1"/>
  <c r="C76" i="1"/>
  <c r="E74" i="1"/>
  <c r="D74" i="1"/>
  <c r="C73" i="1"/>
  <c r="E71" i="1"/>
  <c r="D71" i="1"/>
  <c r="D76" i="1" s="1"/>
  <c r="E67" i="1"/>
  <c r="D60" i="1"/>
  <c r="E60" i="1" s="1"/>
  <c r="E59" i="1"/>
  <c r="D59" i="1"/>
  <c r="E58" i="1"/>
  <c r="E49" i="1"/>
  <c r="A49" i="1"/>
  <c r="E45" i="1"/>
  <c r="A45" i="1"/>
  <c r="E44" i="1"/>
  <c r="A44" i="1"/>
  <c r="E43" i="1"/>
  <c r="C164" i="1" s="1"/>
  <c r="E164" i="1" s="1"/>
  <c r="F165" i="1" s="1"/>
  <c r="A43" i="1"/>
  <c r="E42" i="1"/>
  <c r="A42" i="1"/>
  <c r="A36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D62" i="1" l="1"/>
  <c r="E62" i="1" s="1"/>
  <c r="E63" i="1" s="1"/>
  <c r="C35" i="2"/>
  <c r="D61" i="1"/>
  <c r="E61" i="1" s="1"/>
  <c r="E118" i="1"/>
  <c r="D177" i="1"/>
  <c r="D220" i="1"/>
  <c r="E220" i="1" s="1"/>
  <c r="D223" i="1" s="1"/>
  <c r="E223" i="1" s="1"/>
  <c r="F224" i="1" s="1"/>
  <c r="E29" i="1" s="1"/>
  <c r="D191" i="1"/>
  <c r="E191" i="1" s="1"/>
  <c r="D192" i="1" s="1"/>
  <c r="E192" i="1" s="1"/>
  <c r="E198" i="1" s="1"/>
  <c r="D199" i="1" s="1"/>
  <c r="E199" i="1" s="1"/>
  <c r="F200" i="1" s="1"/>
  <c r="E46" i="1"/>
  <c r="C177" i="1"/>
  <c r="E177" i="1" s="1"/>
  <c r="F178" i="1" s="1"/>
  <c r="F180" i="1" s="1"/>
  <c r="E24" i="1" s="1"/>
  <c r="D80" i="1"/>
  <c r="E80" i="1" s="1"/>
  <c r="D94" i="1"/>
  <c r="E94" i="1" s="1"/>
  <c r="D96" i="1" s="1"/>
  <c r="E96" i="1" s="1"/>
  <c r="E97" i="1" s="1"/>
  <c r="C20" i="7"/>
  <c r="C25" i="7" s="1"/>
  <c r="C27" i="7" s="1"/>
  <c r="E23" i="1"/>
  <c r="D128" i="1"/>
  <c r="E128" i="1" s="1"/>
  <c r="F130" i="1" s="1"/>
  <c r="D213" i="1"/>
  <c r="E213" i="1" s="1"/>
  <c r="C240" i="1"/>
  <c r="E240" i="1" s="1"/>
  <c r="D73" i="1"/>
  <c r="E73" i="1" s="1"/>
  <c r="D81" i="1" s="1"/>
  <c r="E81" i="1" s="1"/>
  <c r="C238" i="1"/>
  <c r="E238" i="1" s="1"/>
  <c r="C246" i="1"/>
  <c r="E246" i="1" s="1"/>
  <c r="F247" i="1" s="1"/>
  <c r="E31" i="1" s="1"/>
  <c r="C32" i="3"/>
  <c r="E232" i="1"/>
  <c r="F242" i="1" s="1"/>
  <c r="E30" i="1" s="1"/>
  <c r="C30" i="2"/>
  <c r="D98" i="1" l="1"/>
  <c r="E21" i="1"/>
  <c r="D64" i="1"/>
  <c r="E82" i="1"/>
  <c r="E27" i="1"/>
  <c r="C28" i="2"/>
  <c r="C19" i="2"/>
  <c r="C25" i="2" s="1"/>
  <c r="C34" i="2" s="1"/>
  <c r="C36" i="2" s="1"/>
  <c r="C207" i="1"/>
  <c r="D208" i="1" s="1"/>
  <c r="E208" i="1" s="1"/>
  <c r="E214" i="1" s="1"/>
  <c r="D215" i="1" s="1"/>
  <c r="E215" i="1" s="1"/>
  <c r="F216" i="1" s="1"/>
  <c r="E28" i="1" s="1"/>
  <c r="D119" i="1"/>
  <c r="E26" i="1" l="1"/>
  <c r="F259" i="1"/>
  <c r="E25" i="1" s="1"/>
  <c r="C29" i="2"/>
  <c r="C32" i="2" s="1"/>
  <c r="C37" i="2" s="1"/>
  <c r="D83" i="1"/>
  <c r="C64" i="1" l="1"/>
  <c r="E64" i="1" s="1"/>
  <c r="E65" i="1" s="1"/>
  <c r="D66" i="1" s="1"/>
  <c r="E66" i="1" s="1"/>
  <c r="F67" i="1" s="1"/>
  <c r="E17" i="1" s="1"/>
  <c r="C98" i="1"/>
  <c r="E98" i="1" s="1"/>
  <c r="E99" i="1" s="1"/>
  <c r="D100" i="1" s="1"/>
  <c r="E100" i="1" s="1"/>
  <c r="F101" i="1" s="1"/>
  <c r="E19" i="1" s="1"/>
  <c r="C83" i="1"/>
  <c r="E83" i="1" s="1"/>
  <c r="E84" i="1" s="1"/>
  <c r="D85" i="1" s="1"/>
  <c r="E85" i="1" s="1"/>
  <c r="F86" i="1" s="1"/>
  <c r="E18" i="1" s="1"/>
  <c r="C119" i="1"/>
  <c r="E119" i="1" s="1"/>
  <c r="E120" i="1" s="1"/>
  <c r="D121" i="1" s="1"/>
  <c r="E121" i="1" s="1"/>
  <c r="F122" i="1" s="1"/>
  <c r="E20" i="1" l="1"/>
  <c r="F144" i="1"/>
  <c r="F282" i="1" l="1"/>
  <c r="E16" i="1"/>
  <c r="D288" i="1" l="1"/>
  <c r="E288" i="1" s="1"/>
  <c r="F289" i="1" s="1"/>
  <c r="F291" i="1" s="1"/>
  <c r="E36" i="1" s="1"/>
  <c r="F294" i="1" l="1"/>
  <c r="E37" i="1"/>
  <c r="F34" i="1" l="1"/>
  <c r="F22" i="1"/>
  <c r="F32" i="1"/>
  <c r="F33" i="1"/>
  <c r="F24" i="1"/>
  <c r="F29" i="1"/>
  <c r="F30" i="1"/>
  <c r="F23" i="1"/>
  <c r="F31" i="1"/>
  <c r="F28" i="1"/>
  <c r="F27" i="1"/>
  <c r="F21" i="1"/>
  <c r="F25" i="1"/>
  <c r="F26" i="1"/>
  <c r="F19" i="1"/>
  <c r="F18" i="1"/>
  <c r="F17" i="1"/>
  <c r="F20" i="1"/>
  <c r="F16" i="1"/>
  <c r="F36" i="1"/>
  <c r="F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B52" authorId="0" shapeId="0" xr:uid="{00000000-0006-0000-0000-000005000000}">
      <text>
        <r>
          <rPr>
            <sz val="10"/>
            <rFont val="Arial"/>
            <family val="2"/>
          </rPr>
          <t xml:space="preserve">Informar o fator de utilização das equipes de coleta. 
Por exemplo:
Equipes com utilização integral = 100%
Equipes com utilização parcial = n° horas trabalhadas por semana /44 horas
</t>
        </r>
      </text>
    </comment>
    <comment ref="D58" authorId="0" shapeId="0" xr:uid="{00000000-0006-0000-0000-000046000000}">
      <text>
        <r>
          <rPr>
            <sz val="10"/>
            <rFont val="Arial"/>
            <family val="2"/>
          </rPr>
          <t>Informar o Piso da categoria fixado na Convenção Coletiva, ou do salário, caso seja superior.</t>
        </r>
      </text>
    </comment>
    <comment ref="C59" authorId="0" shapeId="0" xr:uid="{00000000-0006-0000-0000-000007000000}">
      <text>
        <r>
          <rPr>
            <sz val="10"/>
            <rFont val="Arial"/>
            <family val="2"/>
          </rPr>
          <t xml:space="preserve">Informar o número de horas extras trabalhadas nos domingos e feriados em horário diurno
</t>
        </r>
      </text>
    </comment>
    <comment ref="C60" authorId="0" shapeId="0" xr:uid="{00000000-0006-0000-0000-000008000000}">
      <text>
        <r>
          <rPr>
            <sz val="10"/>
            <rFont val="Arial"/>
            <family val="2"/>
          </rPr>
          <t xml:space="preserve">Informar o número de horas extras trabalhadas em horário diurno de segunda a sábado 
</t>
        </r>
      </text>
    </comment>
    <comment ref="A61" authorId="0" shapeId="0" xr:uid="{00000000-0006-0000-0000-000001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64" authorId="0" shapeId="0" xr:uid="{00000000-0006-0000-0000-000009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66" authorId="0" shapeId="0" xr:uid="{00000000-0006-0000-0000-00000A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C72" authorId="0" shapeId="0" xr:uid="{00000000-0006-0000-0000-00000B000000}">
      <text>
        <r>
          <rPr>
            <sz val="10"/>
            <rFont val="Arial"/>
            <family val="2"/>
          </rPr>
          <t>Informar o número de horas noturnas trabalhadas no intervalo das 22:00h as 5:00h</t>
        </r>
      </text>
    </comment>
    <comment ref="C74" authorId="0" shapeId="0" xr:uid="{00000000-0006-0000-0000-00000C000000}">
      <text>
        <r>
          <rPr>
            <sz val="10"/>
            <rFont val="Arial"/>
            <family val="2"/>
          </rPr>
          <t>Informar o número de horas extras trabalhadas em horário diurno nos domingos e feriados</t>
        </r>
      </text>
    </comment>
    <comment ref="C75" authorId="0" shapeId="0" xr:uid="{00000000-0006-0000-0000-00000D000000}">
      <text>
        <r>
          <rPr>
            <sz val="10"/>
            <rFont val="Arial"/>
            <family val="2"/>
          </rPr>
          <t xml:space="preserve">Informar o número de horas extras trabalhadas em horário noturno (das 22:00h as 5h) nos domingos e feriados
</t>
        </r>
      </text>
    </comment>
    <comment ref="C77" authorId="0" shapeId="0" xr:uid="{00000000-0006-0000-0000-00000E000000}">
      <text>
        <r>
          <rPr>
            <sz val="10"/>
            <rFont val="Arial"/>
            <family val="2"/>
          </rPr>
          <t>Informar o número de horas extras trabalhadas em horário noturno de segunda à sábado</t>
        </r>
      </text>
    </comment>
    <comment ref="C78" authorId="0" shapeId="0" xr:uid="{00000000-0006-0000-0000-00000F000000}">
      <text>
        <r>
          <rPr>
            <sz val="10"/>
            <rFont val="Arial"/>
            <family val="2"/>
          </rPr>
          <t>Informar o número de horas extras trabalhadas em horário noturno (das 22:00h as 5h) de segunda a sábado</t>
        </r>
      </text>
    </comment>
    <comment ref="A80" authorId="0" shapeId="0" xr:uid="{00000000-0006-0000-0000-000002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83" authorId="0" shapeId="0" xr:uid="{00000000-0006-0000-0000-000010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85" authorId="0" shapeId="0" xr:uid="{00000000-0006-0000-0000-000011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D90" authorId="0" shapeId="0" xr:uid="{00000000-0006-0000-0000-000047000000}">
      <text>
        <r>
          <rPr>
            <sz val="10"/>
            <rFont val="Arial"/>
            <family val="2"/>
          </rPr>
          <t>Informar o Piso da categoria fixado na Convenção Coletiva</t>
        </r>
      </text>
    </comment>
    <comment ref="D91" authorId="0" shapeId="0" xr:uid="{00000000-0006-0000-0000-000048000000}">
      <text>
        <r>
          <rPr>
            <sz val="10"/>
            <rFont val="Arial"/>
            <family val="2"/>
          </rPr>
          <t>Informar o valor do salário Mínimo Nacional</t>
        </r>
      </text>
    </comment>
    <comment ref="C92" authorId="0" shapeId="0" xr:uid="{00000000-0006-0000-0000-000012000000}">
      <text>
        <r>
          <rPr>
            <sz val="10"/>
            <rFont val="Arial"/>
            <family val="2"/>
          </rPr>
          <t>Informar o número de horas extras trabalhadas em horário diurno nos domingos e feriados</t>
        </r>
      </text>
    </comment>
    <comment ref="C93" authorId="0" shapeId="0" xr:uid="{00000000-0006-0000-0000-000013000000}">
      <text>
        <r>
          <rPr>
            <sz val="10"/>
            <rFont val="Arial"/>
            <family val="2"/>
          </rPr>
          <t xml:space="preserve">Informar o número de horas extras trabalhadas em horário diurno de segunda a sábado 
</t>
        </r>
      </text>
    </comment>
    <comment ref="A94" authorId="0" shapeId="0" xr:uid="{00000000-0006-0000-0000-000003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95" authorId="0" shapeId="0" xr:uid="{00000000-0006-0000-0000-000014000000}">
      <text>
        <r>
          <rPr>
            <sz val="10"/>
            <rFont val="Arial"/>
            <family val="2"/>
          </rPr>
          <t xml:space="preserve">Informar 1 se a base de cálculo for o Salário Mínimo Nacional; Informar 2 se a base de cálculo for o Piso da Categoria; 
</t>
        </r>
      </text>
    </comment>
    <comment ref="C96" authorId="0" shapeId="0" xr:uid="{00000000-0006-0000-0000-000015000000}">
      <text>
        <r>
          <rPr>
            <sz val="10"/>
            <rFont val="Arial"/>
            <family val="2"/>
          </rPr>
          <t>Percentual estabelecido nas Normas de Segurança de Trabalho ou pelo laudo de responsável técnico devidamente habilitado</t>
        </r>
      </text>
    </comment>
    <comment ref="C98" authorId="0" shapeId="0" xr:uid="{00000000-0006-0000-0000-000016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100" authorId="0" shapeId="0" xr:uid="{00000000-0006-0000-0000-000017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C107" authorId="0" shapeId="0" xr:uid="{00000000-0006-0000-0000-000018000000}">
      <text>
        <r>
          <rPr>
            <sz val="10"/>
            <rFont val="Arial"/>
            <family val="2"/>
          </rPr>
          <t>Informar o número de horas noturnas trabalhadas no intervalo das 22:00h as 5:00h</t>
        </r>
      </text>
    </comment>
    <comment ref="C109" authorId="0" shapeId="0" xr:uid="{00000000-0006-0000-0000-000019000000}">
      <text>
        <r>
          <rPr>
            <sz val="10"/>
            <rFont val="Arial"/>
            <family val="2"/>
          </rPr>
          <t>Informar o número de horas extras trabalhadas em horário noturno nos domingos e feriados</t>
        </r>
      </text>
    </comment>
    <comment ref="C110" authorId="0" shapeId="0" xr:uid="{00000000-0006-0000-0000-00001A000000}">
      <text>
        <r>
          <rPr>
            <sz val="10"/>
            <rFont val="Arial"/>
            <family val="2"/>
          </rPr>
          <t xml:space="preserve">Informar o número de horas extras trabalhadas em horário noturno (das 22:00h as 5h) nos domingos e feriados
</t>
        </r>
      </text>
    </comment>
    <comment ref="C112" authorId="0" shapeId="0" xr:uid="{00000000-0006-0000-0000-00001B000000}">
      <text>
        <r>
          <rPr>
            <sz val="10"/>
            <rFont val="Arial"/>
            <family val="2"/>
          </rPr>
          <t>Informar o número de horas extras trabalhadas em horário noturno de segunda à sábado</t>
        </r>
      </text>
    </comment>
    <comment ref="C113" authorId="0" shapeId="0" xr:uid="{00000000-0006-0000-0000-00001C000000}">
      <text>
        <r>
          <rPr>
            <sz val="10"/>
            <rFont val="Arial"/>
            <family val="2"/>
          </rPr>
          <t>Informar o número de horas extras trabalhadas em horário noturno (das 22:00h as 5h) de segunda a sábado</t>
        </r>
      </text>
    </comment>
    <comment ref="A115" authorId="0" shapeId="0" xr:uid="{00000000-0006-0000-0000-000004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116" authorId="0" shapeId="0" xr:uid="{00000000-0006-0000-0000-00001D000000}">
      <text>
        <r>
          <rPr>
            <sz val="10"/>
            <rFont val="Arial"/>
            <family val="2"/>
          </rPr>
          <t xml:space="preserve">Informar 1 se a base de cálculo for o Salário Mínimo Nacional; Informar 2 se a base de cálculo for o Piso da Categoria; 
</t>
        </r>
      </text>
    </comment>
    <comment ref="C119" authorId="0" shapeId="0" xr:uid="{00000000-0006-0000-0000-00001E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121" authorId="0" shapeId="0" xr:uid="{00000000-0006-0000-0000-00001F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D126" authorId="0" shapeId="0" xr:uid="{00000000-0006-0000-0000-000049000000}">
      <text>
        <r>
          <rPr>
            <sz val="10"/>
            <rFont val="Arial"/>
            <family val="2"/>
          </rPr>
          <t>Informar o valor unitário do VT no município</t>
        </r>
      </text>
    </comment>
    <comment ref="C127" authorId="0" shapeId="0" xr:uid="{00000000-0006-0000-0000-000020000000}">
      <text>
        <r>
          <rPr>
            <sz val="10"/>
            <rFont val="Arial"/>
            <family val="2"/>
          </rPr>
          <t>Informar o número médio de dias trabalhados por mês</t>
        </r>
      </text>
    </comment>
    <comment ref="D128" authorId="0" shapeId="0" xr:uid="{00000000-0006-0000-0000-00004A000000}">
      <text>
        <r>
          <rPr>
            <sz val="10"/>
            <rFont val="Arial"/>
            <family val="2"/>
          </rPr>
          <t>Valor Unitário considerando o desconto legal de até 6% do salário</t>
        </r>
      </text>
    </comment>
    <comment ref="D129" authorId="0" shapeId="0" xr:uid="{00000000-0006-0000-0000-00004B000000}">
      <text>
        <r>
          <rPr>
            <sz val="10"/>
            <rFont val="Arial"/>
            <family val="2"/>
          </rPr>
          <t xml:space="preserve">Valor Unitário considerando o desconto legal de até 6% do salário
</t>
        </r>
      </text>
    </comment>
    <comment ref="D134" authorId="0" shapeId="0" xr:uid="{00000000-0006-0000-0000-00004C000000}">
      <text>
        <r>
          <rPr>
            <sz val="10"/>
            <rFont val="Arial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5" authorId="0" shapeId="0" xr:uid="{00000000-0006-0000-0000-00004D000000}">
      <text>
        <r>
          <rPr>
            <sz val="10"/>
            <rFont val="Arial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40" authorId="0" shapeId="0" xr:uid="{00000000-0006-0000-0000-00004E000000}">
      <text>
        <r>
          <rPr>
            <sz val="10"/>
            <rFont val="Arial"/>
            <family val="2"/>
          </rPr>
          <t>Informar o valor mensal do auxilio alimentação, considerando o desconto aplicável ao funcionário, conforme Convenção Coletiva da categoria</t>
        </r>
      </text>
    </comment>
    <comment ref="D141" authorId="0" shapeId="0" xr:uid="{00000000-0006-0000-0000-00004F000000}">
      <text>
        <r>
          <rPr>
            <sz val="10"/>
            <rFont val="Arial"/>
            <family val="2"/>
          </rPr>
          <t>Informar o valor mensal do auxilio alimentação, considerando o desconto aplicável ao funcionário, conforme Convenção Coletiva da categoria</t>
        </r>
      </text>
    </comment>
    <comment ref="C151" authorId="0" shapeId="0" xr:uid="{00000000-0006-0000-0000-000021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1" authorId="0" shapeId="0" xr:uid="{00000000-0006-0000-0000-000050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52" authorId="0" shapeId="0" xr:uid="{00000000-0006-0000-0000-000022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2" authorId="0" shapeId="0" xr:uid="{00000000-0006-0000-0000-000051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53" authorId="0" shapeId="0" xr:uid="{00000000-0006-0000-0000-000023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3" authorId="0" shapeId="0" xr:uid="{00000000-0006-0000-0000-000052000000}">
      <text>
        <r>
          <rPr>
            <sz val="10"/>
            <rFont val="Arial"/>
            <family val="2"/>
          </rPr>
          <t xml:space="preserve">Informar o valor unitário do custo total para aquisição de cada EPI
</t>
        </r>
      </text>
    </comment>
    <comment ref="C154" authorId="0" shapeId="0" xr:uid="{00000000-0006-0000-0000-000024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4" authorId="0" shapeId="0" xr:uid="{00000000-0006-0000-0000-000053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55" authorId="0" shapeId="0" xr:uid="{00000000-0006-0000-0000-000025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5" authorId="0" shapeId="0" xr:uid="{00000000-0006-0000-0000-000054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56" authorId="0" shapeId="0" xr:uid="{00000000-0006-0000-0000-000026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6" authorId="0" shapeId="0" xr:uid="{00000000-0006-0000-0000-000055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57" authorId="0" shapeId="0" xr:uid="{00000000-0006-0000-0000-000027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7" authorId="0" shapeId="0" xr:uid="{00000000-0006-0000-0000-000056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61" authorId="0" shapeId="0" xr:uid="{00000000-0006-0000-0000-000028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61" authorId="0" shapeId="0" xr:uid="{00000000-0006-0000-0000-000057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62" authorId="0" shapeId="0" xr:uid="{00000000-0006-0000-0000-000029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62" authorId="0" shapeId="0" xr:uid="{00000000-0006-0000-0000-000058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D163" authorId="0" shapeId="0" xr:uid="{00000000-0006-0000-0000-000059000000}">
      <text>
        <r>
          <rPr>
            <sz val="10"/>
            <rFont val="Arial"/>
            <family val="2"/>
          </rPr>
          <t>Informar o valor mensal de higienização de uniforme para 1 funcionário</t>
        </r>
      </text>
    </comment>
    <comment ref="C170" authorId="0" shapeId="0" xr:uid="{00000000-0006-0000-0000-00002A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1" authorId="0" shapeId="0" xr:uid="{00000000-0006-0000-0000-00002B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2" authorId="0" shapeId="0" xr:uid="{00000000-0006-0000-0000-00002C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3" authorId="0" shapeId="0" xr:uid="{00000000-0006-0000-0000-00002D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4" authorId="0" shapeId="0" xr:uid="{00000000-0006-0000-0000-00002E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5" authorId="0" shapeId="0" xr:uid="{00000000-0006-0000-0000-00002F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76" authorId="0" shapeId="0" xr:uid="{00000000-0006-0000-0000-00005A000000}">
      <text>
        <r>
          <rPr>
            <sz val="10"/>
            <rFont val="Arial"/>
            <family val="2"/>
          </rPr>
          <t>Informar o valor mensal de higienização de uniforme para 1 funcionário</t>
        </r>
      </text>
    </comment>
    <comment ref="D188" authorId="0" shapeId="0" xr:uid="{00000000-0006-0000-0000-00005B000000}">
      <text>
        <r>
          <rPr>
            <sz val="10"/>
            <rFont val="Arial"/>
            <family val="2"/>
          </rPr>
          <t>Informar o preço unitário do chassis do caminhão de coleta</t>
        </r>
      </text>
    </comment>
    <comment ref="C189" authorId="0" shapeId="0" xr:uid="{00000000-0006-0000-0000-000030000000}">
      <text>
        <r>
          <rPr>
            <sz val="10"/>
            <rFont val="Arial"/>
            <family val="2"/>
          </rPr>
          <t>Informar a vida útil estimada para o caminhão, em anos</t>
        </r>
      </text>
    </comment>
    <comment ref="C190" authorId="0" shapeId="0" xr:uid="{00000000-0006-0000-0000-000031000000}">
      <text>
        <r>
          <rPr>
            <sz val="10"/>
            <rFont val="Arial"/>
            <family val="2"/>
          </rPr>
          <t>Na elaboração do orçamento-base da licitação, informar 0 (zero). Na proposta da licitante, informar a idade do veículo proposto.</t>
        </r>
      </text>
    </comment>
    <comment ref="C191" authorId="0" shapeId="0" xr:uid="{00000000-0006-0000-0000-000032000000}">
      <text>
        <r>
          <rPr>
            <sz val="10"/>
            <rFont val="Arial"/>
            <family val="2"/>
          </rPr>
          <t xml:space="preserve">Informar o valor da depreciação do caminhão, adotando o valor sugerido pelo TCE ou outro valor estimado 
</t>
        </r>
      </text>
    </comment>
    <comment ref="D193" authorId="0" shapeId="0" xr:uid="{00000000-0006-0000-0000-00005C000000}">
      <text>
        <r>
          <rPr>
            <sz val="10"/>
            <rFont val="Arial"/>
            <family val="2"/>
          </rPr>
          <t xml:space="preserve">Informar o preço unitário do equipamento compactador
</t>
        </r>
      </text>
    </comment>
    <comment ref="C194" authorId="0" shapeId="0" xr:uid="{00000000-0006-0000-0000-000033000000}">
      <text>
        <r>
          <rPr>
            <sz val="10"/>
            <rFont val="Arial"/>
            <family val="2"/>
          </rPr>
          <t>Informar a vida útil estimada para o compactador, em anos</t>
        </r>
      </text>
    </comment>
    <comment ref="C195" authorId="0" shapeId="0" xr:uid="{00000000-0006-0000-0000-000034000000}">
      <text>
        <r>
          <rPr>
            <sz val="10"/>
            <rFont val="Arial"/>
            <family val="2"/>
          </rPr>
          <t>Na elaboração do orçamento-base da licitação, informar 0 (zero). Na proposta da licitante, informar a idade do compactador proposto.</t>
        </r>
      </text>
    </comment>
    <comment ref="C196" authorId="0" shapeId="0" xr:uid="{00000000-0006-0000-0000-000035000000}">
      <text>
        <r>
          <rPr>
            <sz val="10"/>
            <rFont val="Arial"/>
            <family val="2"/>
          </rPr>
          <t xml:space="preserve">Informar o valor da depreciação do compactador, adotando o valor sugerido pelo TCE ou outro valor estimado 
</t>
        </r>
      </text>
    </comment>
    <comment ref="C199" authorId="0" shapeId="0" xr:uid="{00000000-0006-0000-0000-000036000000}">
      <text>
        <r>
          <rPr>
            <sz val="10"/>
            <rFont val="Arial"/>
            <family val="2"/>
          </rPr>
          <t>Informar a quantidade de caminhões compactadores do respectivo modelo</t>
        </r>
      </text>
    </comment>
    <comment ref="C205" authorId="0" shapeId="0" xr:uid="{00000000-0006-0000-0000-000037000000}">
      <text>
        <r>
          <rPr>
            <sz val="10"/>
            <rFont val="Arial"/>
            <family val="2"/>
          </rPr>
          <t xml:space="preserve">Informar a taxa de juros anual para remuneração do capital. Recomenda-se o uso da Taxa SELIC
</t>
        </r>
      </text>
    </comment>
    <comment ref="D221" authorId="0" shapeId="0" xr:uid="{00000000-0006-0000-0000-00005D000000}">
      <text>
        <r>
          <rPr>
            <sz val="10"/>
            <rFont val="Arial"/>
            <family val="2"/>
          </rPr>
          <t xml:space="preserve">Informar o valor do seguro obrigatório e licenciamento anual de um caminhão
</t>
        </r>
      </text>
    </comment>
    <comment ref="D222" authorId="0" shapeId="0" xr:uid="{00000000-0006-0000-0000-00005E000000}">
      <text>
        <r>
          <rPr>
            <sz val="10"/>
            <rFont val="Arial"/>
            <family val="2"/>
          </rPr>
          <t xml:space="preserve">Informar o valor do seguro contra terceiros de um caminhão, se houver previsão no Projeto Básico
</t>
        </r>
      </text>
    </comment>
    <comment ref="B228" authorId="0" shapeId="0" xr:uid="{00000000-0006-0000-0000-000006000000}">
      <text>
        <r>
          <rPr>
            <sz val="10"/>
            <rFont val="Arial"/>
            <family val="2"/>
          </rPr>
          <t xml:space="preserve">Informar a quilometragem mensal percorrida, de acordo com o projeto básico, inclíndo a quilometragem até o destino final.
</t>
        </r>
      </text>
    </comment>
    <comment ref="C231" authorId="0" shapeId="0" xr:uid="{00000000-0006-0000-0000-000038000000}">
      <text>
        <r>
          <rPr>
            <sz val="10"/>
            <rFont val="Arial"/>
            <family val="2"/>
          </rPr>
          <t>Informar o consumo estimado do veículo em km/l</t>
        </r>
      </text>
    </comment>
    <comment ref="D231" authorId="0" shapeId="0" xr:uid="{00000000-0006-0000-0000-00005F000000}">
      <text>
        <r>
          <rPr>
            <sz val="10"/>
            <rFont val="Arial"/>
            <family val="2"/>
          </rPr>
          <t xml:space="preserve">Informar o preço unitário do combustivel
</t>
        </r>
      </text>
    </comment>
    <comment ref="C233" authorId="0" shapeId="0" xr:uid="{00000000-0006-0000-0000-000039000000}">
      <text>
        <r>
          <rPr>
            <sz val="10"/>
            <rFont val="Arial"/>
            <family val="2"/>
          </rPr>
          <t>Informar o consumo de óleo do motor a cada 1000km</t>
        </r>
      </text>
    </comment>
    <comment ref="D233" authorId="0" shapeId="0" xr:uid="{00000000-0006-0000-0000-000060000000}">
      <text>
        <r>
          <rPr>
            <sz val="10"/>
            <rFont val="Arial"/>
            <family val="2"/>
          </rPr>
          <t xml:space="preserve">Informar o preço unitário do litro do óleo do motor
</t>
        </r>
      </text>
    </comment>
    <comment ref="C235" authorId="0" shapeId="0" xr:uid="{00000000-0006-0000-0000-00003A000000}">
      <text>
        <r>
          <rPr>
            <sz val="10"/>
            <rFont val="Arial"/>
            <family val="2"/>
          </rPr>
          <t>Informar o consumo de óleo da transmissão a cada 1000km</t>
        </r>
      </text>
    </comment>
    <comment ref="D235" authorId="0" shapeId="0" xr:uid="{00000000-0006-0000-0000-000061000000}">
      <text>
        <r>
          <rPr>
            <sz val="10"/>
            <rFont val="Arial"/>
            <family val="2"/>
          </rPr>
          <t xml:space="preserve">Informar o preço unitário do litro do óleo da transmissão
</t>
        </r>
      </text>
    </comment>
    <comment ref="C237" authorId="0" shapeId="0" xr:uid="{00000000-0006-0000-0000-00003B000000}">
      <text>
        <r>
          <rPr>
            <sz val="10"/>
            <rFont val="Arial"/>
            <family val="2"/>
          </rPr>
          <t>Informar o consumo de óleo hidráulico a cada 1000km</t>
        </r>
      </text>
    </comment>
    <comment ref="D237" authorId="0" shapeId="0" xr:uid="{00000000-0006-0000-0000-000062000000}">
      <text>
        <r>
          <rPr>
            <sz val="10"/>
            <rFont val="Arial"/>
            <family val="2"/>
          </rPr>
          <t xml:space="preserve">Informar o preço unitário do litro do óleo hidráulico
</t>
        </r>
      </text>
    </comment>
    <comment ref="C239" authorId="0" shapeId="0" xr:uid="{00000000-0006-0000-0000-00003C000000}">
      <text>
        <r>
          <rPr>
            <sz val="10"/>
            <rFont val="Arial"/>
            <family val="2"/>
          </rPr>
          <t>Informar o consumo de graxa a cada 1000km</t>
        </r>
      </text>
    </comment>
    <comment ref="D239" authorId="0" shapeId="0" xr:uid="{00000000-0006-0000-0000-000063000000}">
      <text>
        <r>
          <rPr>
            <sz val="10"/>
            <rFont val="Arial"/>
            <family val="2"/>
          </rPr>
          <t xml:space="preserve">Informar o preço unitário do litro da graxa
</t>
        </r>
      </text>
    </comment>
    <comment ref="D246" authorId="0" shapeId="0" xr:uid="{00000000-0006-0000-0000-000064000000}">
      <text>
        <r>
          <rPr>
            <sz val="10"/>
            <rFont val="Arial"/>
            <family val="2"/>
          </rPr>
          <t xml:space="preserve">Informar o custo de manutenção em R$/km rodado
</t>
        </r>
      </text>
    </comment>
    <comment ref="C251" authorId="0" shapeId="0" xr:uid="{00000000-0006-0000-0000-00003D000000}">
      <text>
        <r>
          <rPr>
            <sz val="10"/>
            <rFont val="Arial"/>
            <family val="2"/>
          </rPr>
          <t>Informar a quantidade de pneus novos de 1 caminhão</t>
        </r>
      </text>
    </comment>
    <comment ref="D251" authorId="0" shapeId="0" xr:uid="{00000000-0006-0000-0000-000065000000}">
      <text>
        <r>
          <rPr>
            <sz val="10"/>
            <rFont val="Arial"/>
            <family val="2"/>
          </rPr>
          <t xml:space="preserve">Informar o preço unitário de cada pneu
</t>
        </r>
      </text>
    </comment>
    <comment ref="C252" authorId="0" shapeId="0" xr:uid="{00000000-0006-0000-0000-00003E000000}">
      <text>
        <r>
          <rPr>
            <sz val="10"/>
            <rFont val="Arial"/>
            <family val="2"/>
          </rPr>
          <t>Informar o número de recapagens por pneu</t>
        </r>
      </text>
    </comment>
    <comment ref="D253" authorId="0" shapeId="0" xr:uid="{00000000-0006-0000-0000-000066000000}">
      <text>
        <r>
          <rPr>
            <sz val="10"/>
            <rFont val="Arial"/>
            <family val="2"/>
          </rPr>
          <t xml:space="preserve">Informar o preço unitário de cada recapagem
</t>
        </r>
      </text>
    </comment>
    <comment ref="C254" authorId="0" shapeId="0" xr:uid="{00000000-0006-0000-0000-00003F000000}">
      <text>
        <r>
          <rPr>
            <sz val="10"/>
            <rFont val="Arial"/>
            <family val="2"/>
          </rPr>
          <t xml:space="preserve">Informar a durabilidade média dos pneus considerando as recapagens, em km
</t>
        </r>
      </text>
    </comment>
    <comment ref="C264" authorId="0" shapeId="0" xr:uid="{00000000-0006-0000-0000-000040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4" authorId="0" shapeId="0" xr:uid="{00000000-0006-0000-0000-000067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65" authorId="0" shapeId="0" xr:uid="{00000000-0006-0000-0000-000041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5" authorId="0" shapeId="0" xr:uid="{00000000-0006-0000-0000-000068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66" authorId="0" shapeId="0" xr:uid="{00000000-0006-0000-0000-000042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6" authorId="0" shapeId="0" xr:uid="{00000000-0006-0000-0000-000069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67" authorId="0" shapeId="0" xr:uid="{00000000-0006-0000-0000-000043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7" authorId="0" shapeId="0" xr:uid="{00000000-0006-0000-0000-00006A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68" authorId="0" shapeId="0" xr:uid="{00000000-0006-0000-0000-000044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8" authorId="0" shapeId="0" xr:uid="{00000000-0006-0000-0000-00006B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D276" authorId="0" shapeId="0" xr:uid="{00000000-0006-0000-0000-00006C000000}">
      <text>
        <r>
          <rPr>
            <sz val="10"/>
            <rFont val="Arial"/>
            <family val="2"/>
          </rPr>
          <t>Informar o valor total para instalação do equipamento de monitoramento da frota, se houver previsão no Projeto Básico</t>
        </r>
      </text>
    </comment>
    <comment ref="C288" authorId="0" shapeId="0" xr:uid="{00000000-0006-0000-0000-000045000000}">
      <text>
        <r>
          <rPr>
            <sz val="10"/>
            <rFont val="Arial"/>
            <family val="2"/>
          </rPr>
          <t>Preencher a aba 4.BDI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C12" authorId="0" shapeId="0" xr:uid="{00000000-0006-0000-0300-000001000000}">
      <text>
        <r>
          <rPr>
            <sz val="10"/>
            <rFont val="Arial"/>
            <family val="2"/>
          </rPr>
          <t xml:space="preserve">Informar o % de Administração Central estimado
</t>
        </r>
      </text>
    </comment>
    <comment ref="C13" authorId="0" shapeId="0" xr:uid="{00000000-0006-0000-0300-000002000000}">
      <text>
        <r>
          <rPr>
            <sz val="10"/>
            <rFont val="Arial"/>
            <family val="2"/>
          </rPr>
          <t xml:space="preserve">Informar o % de Seguros, Riscos e Garantia estimado
</t>
        </r>
      </text>
    </comment>
    <comment ref="C14" authorId="0" shapeId="0" xr:uid="{00000000-0006-0000-0300-000003000000}">
      <text>
        <r>
          <rPr>
            <sz val="10"/>
            <rFont val="Arial"/>
            <family val="2"/>
          </rPr>
          <t xml:space="preserve">Informar o % de Lucro estimado
</t>
        </r>
      </text>
    </comment>
    <comment ref="E15" authorId="0" shapeId="0" xr:uid="{00000000-0006-0000-0300-000006000000}">
      <text>
        <r>
          <rPr>
            <sz val="10"/>
            <rFont val="Arial"/>
            <family val="2"/>
          </rPr>
          <t>Informar o valor anual da taxa financeira, em percentual. Admite-se utilizar a SELIC</t>
        </r>
      </text>
    </comment>
    <comment ref="C16" authorId="0" shapeId="0" xr:uid="{00000000-0006-0000-0300-000004000000}">
      <text>
        <r>
          <rPr>
            <sz val="10"/>
            <rFont val="Arial"/>
            <family val="2"/>
          </rPr>
          <t xml:space="preserve">Informar o percentual de ISS, de acordo com a legislação tributária do município onde serão prestados os serviços. De 2% até o limite de 5%.
</t>
        </r>
      </text>
    </comment>
    <comment ref="E16" authorId="0" shapeId="0" xr:uid="{00000000-0006-0000-0300-000007000000}">
      <text>
        <r>
          <rPr>
            <sz val="10"/>
            <rFont val="Arial"/>
            <family val="2"/>
          </rPr>
          <t xml:space="preserve">Informar a média de dias úteis entre data de pagamento prevista no contrato e a data final do período de adimplemento da parcela
</t>
        </r>
      </text>
    </comment>
    <comment ref="C17" authorId="0" shapeId="0" xr:uid="{00000000-0006-0000-0300-000005000000}">
      <text>
        <r>
          <rPr>
            <sz val="10"/>
            <rFont val="Arial"/>
            <family val="2"/>
          </rPr>
          <t xml:space="preserve">Informar o valor estimado de PIS/COFINS. 
</t>
        </r>
        <r>
          <rPr>
            <sz val="9"/>
            <color rgb="FF000000"/>
            <rFont val="Tahoma"/>
            <family val="2"/>
            <charset val="1"/>
          </rPr>
          <t>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C15" authorId="0" shapeId="0" xr:uid="{00000000-0006-0000-0600-000001000000}">
      <text>
        <r>
          <rPr>
            <sz val="10"/>
            <rFont val="Arial"/>
            <family val="2"/>
          </rPr>
          <t>Informar a população do município a ser atendida</t>
        </r>
      </text>
    </comment>
    <comment ref="C16" authorId="0" shapeId="0" xr:uid="{00000000-0006-0000-0600-000002000000}">
      <text>
        <r>
          <rPr>
            <sz val="10"/>
            <rFont val="Arial"/>
            <family val="2"/>
          </rPr>
          <t>Caso o município possua informações de pesagem, ajustar com o valor da geração média per capita realizada nos últimos 12 meses</t>
        </r>
      </text>
    </comment>
    <comment ref="C17" authorId="0" shapeId="0" xr:uid="{00000000-0006-0000-0600-000003000000}">
      <text>
        <r>
          <rPr>
            <sz val="10"/>
            <rFont val="Arial"/>
            <family val="2"/>
          </rPr>
          <t>retorna a geração diária a ser recolhida</t>
        </r>
      </text>
    </comment>
    <comment ref="C19" authorId="0" shapeId="0" xr:uid="{00000000-0006-0000-0600-000004000000}">
      <text>
        <r>
          <rPr>
            <sz val="10"/>
            <rFont val="Arial"/>
            <family val="2"/>
          </rPr>
          <t>Informe o número de dias de coleta por semana</t>
        </r>
      </text>
    </comment>
    <comment ref="C22" authorId="0" shapeId="0" xr:uid="{00000000-0006-0000-0600-000005000000}">
      <text>
        <r>
          <rPr>
            <sz val="10"/>
            <rFont val="Arial"/>
            <family val="2"/>
          </rPr>
          <t>Informar 1 para caminhão toco; Informar 2 para caminhão truck</t>
        </r>
        <r>
          <rPr>
            <b/>
            <sz val="8"/>
            <color rgb="FF000000"/>
            <rFont val="Tahoma"/>
            <family val="2"/>
            <charset val="1"/>
          </rPr>
          <t xml:space="preserve"> </t>
        </r>
      </text>
    </comment>
    <comment ref="C23" authorId="0" shapeId="0" xr:uid="{00000000-0006-0000-0600-000006000000}">
      <text>
        <r>
          <rPr>
            <sz val="10"/>
            <rFont val="Arial"/>
            <family val="2"/>
          </rPr>
          <t>Informar a capacidade do compactador em m³</t>
        </r>
      </text>
    </comment>
    <comment ref="C26" authorId="0" shapeId="0" xr:uid="{00000000-0006-0000-0600-000007000000}">
      <text>
        <r>
          <rPr>
            <sz val="10"/>
            <rFont val="Arial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<sst xmlns="http://schemas.openxmlformats.org/spreadsheetml/2006/main" count="567" uniqueCount="299">
  <si>
    <t>Preencher somente células em amarelo</t>
  </si>
  <si>
    <t>LOTE 2. Coleta de Resíduos Sólidos, transporte e destinação final - Zona rural</t>
  </si>
  <si>
    <t>Planilha de Composição de Custos</t>
  </si>
  <si>
    <t>Orçamento Sintético</t>
  </si>
  <si>
    <t>Descrição do Item</t>
  </si>
  <si>
    <t>Custo (R$/mês)</t>
  </si>
  <si>
    <t>%</t>
  </si>
  <si>
    <t>PREÇO TOTAL MENSAL COM A COLETA</t>
  </si>
  <si>
    <t>Quantitativos</t>
  </si>
  <si>
    <t>Mão-de-obra</t>
  </si>
  <si>
    <t>Quantidade</t>
  </si>
  <si>
    <t>Total de mão-de-obra (postos de trabalho)</t>
  </si>
  <si>
    <t>Veículos e Equipamentos</t>
  </si>
  <si>
    <t>Fator de utilização (FU)</t>
  </si>
  <si>
    <t>1. Mão-de-obra</t>
  </si>
  <si>
    <t>1.1. Coletor Turno Dia</t>
  </si>
  <si>
    <t>Discriminação</t>
  </si>
  <si>
    <t>Unidade</t>
  </si>
  <si>
    <t>Custo unitário</t>
  </si>
  <si>
    <t>Subtotal</t>
  </si>
  <si>
    <r>
      <rPr>
        <b/>
        <sz val="9"/>
        <rFont val="Arial"/>
        <family val="2"/>
        <charset val="1"/>
      </rPr>
      <t xml:space="preserve">Total </t>
    </r>
    <r>
      <rPr>
        <b/>
        <u/>
        <sz val="9"/>
        <rFont val="Arial"/>
        <family val="2"/>
        <charset val="1"/>
      </rPr>
      <t>(R$)</t>
    </r>
  </si>
  <si>
    <t>Piso da categoria</t>
  </si>
  <si>
    <t>mês</t>
  </si>
  <si>
    <t>Horas Extras (100%)</t>
  </si>
  <si>
    <t>hora</t>
  </si>
  <si>
    <t>Horas Extras (50%)</t>
  </si>
  <si>
    <t>Descanso Semanal Remunerado (DSR) - hora extra</t>
  </si>
  <si>
    <t>R$</t>
  </si>
  <si>
    <t>Adicional de Insalubridade</t>
  </si>
  <si>
    <t>Soma</t>
  </si>
  <si>
    <t>Encargos Sociais</t>
  </si>
  <si>
    <t>Total por Coletor</t>
  </si>
  <si>
    <t>Total do Efetivo</t>
  </si>
  <si>
    <t>homem</t>
  </si>
  <si>
    <t>Fator de utilização</t>
  </si>
  <si>
    <t>1.2. Coletor Turno Noite</t>
  </si>
  <si>
    <t>Adicional Noturno</t>
  </si>
  <si>
    <t>horas trabalhadas</t>
  </si>
  <si>
    <t>hora contabilizada</t>
  </si>
  <si>
    <t>Horas Extras Noturnas (100%)</t>
  </si>
  <si>
    <t>Horas Extras Noturnas (50%)</t>
  </si>
  <si>
    <t>1.3. Motorista Turno do Dia</t>
  </si>
  <si>
    <t>Piso da categoria (2)</t>
  </si>
  <si>
    <t>Salário mínimo nacional (1)</t>
  </si>
  <si>
    <t>Base de cálculo da Insalubridade</t>
  </si>
  <si>
    <t>Total por Motorista</t>
  </si>
  <si>
    <t>1.4. Motorista Turno Noite</t>
  </si>
  <si>
    <t>1.5. Vale Transporte</t>
  </si>
  <si>
    <t>Vale Transporte</t>
  </si>
  <si>
    <t>Dias Trabalhados por mês</t>
  </si>
  <si>
    <t>dia</t>
  </si>
  <si>
    <t>Coletor</t>
  </si>
  <si>
    <t>vale</t>
  </si>
  <si>
    <t>Motorista</t>
  </si>
  <si>
    <t>1.6. Vale-refeição (diário)</t>
  </si>
  <si>
    <t>unidade</t>
  </si>
  <si>
    <t>1.7. Auxílio Alimentação (mensal)</t>
  </si>
  <si>
    <t>Custo Mensal com Mão-de-obra (R$/mês)</t>
  </si>
  <si>
    <t>2. Uniformes e Equipamentos de Proteção Individual</t>
  </si>
  <si>
    <t>2.1. Uniformes e EPIs para Coletor</t>
  </si>
  <si>
    <t>Durabilidade (meses)</t>
  </si>
  <si>
    <t>Jaqueta com reflexivo (NBR 15.292)</t>
  </si>
  <si>
    <t>Calça</t>
  </si>
  <si>
    <t>Camiseta</t>
  </si>
  <si>
    <t>Boné</t>
  </si>
  <si>
    <t>Botina de segurança c/ palmilha aço</t>
  </si>
  <si>
    <t>par</t>
  </si>
  <si>
    <t>Meia de algodão com cano alto</t>
  </si>
  <si>
    <t>Capa de chuva amarela com reflexivo</t>
  </si>
  <si>
    <t>óculos</t>
  </si>
  <si>
    <t>respirador</t>
  </si>
  <si>
    <t>protetor auricular</t>
  </si>
  <si>
    <t>Luva de proteção</t>
  </si>
  <si>
    <t>Protetor solar FPS 30</t>
  </si>
  <si>
    <t>frasco 200g</t>
  </si>
  <si>
    <t>Higienização de uniformes e EPIs</t>
  </si>
  <si>
    <t>R$ mensal</t>
  </si>
  <si>
    <t>2.2. Uniformes e EPIs para demais categorias</t>
  </si>
  <si>
    <t>frasco 120g</t>
  </si>
  <si>
    <t>Custo Mensal com Uniformes e EPIs (R$/mês)</t>
  </si>
  <si>
    <t>3. Veículos e Equipamentos</t>
  </si>
  <si>
    <t>3.1. Veículo Coletor Compactador 12 m³</t>
  </si>
  <si>
    <t>3.1.1. Depreciação</t>
  </si>
  <si>
    <t>Custo de aquisição do chassis</t>
  </si>
  <si>
    <t>Vida útil do chassis</t>
  </si>
  <si>
    <t>anos</t>
  </si>
  <si>
    <t>Idade do veículo</t>
  </si>
  <si>
    <t>Depreciação do chassis</t>
  </si>
  <si>
    <t>Depreciação mensal veículos coletores</t>
  </si>
  <si>
    <t>Custo de aquisição do compactador</t>
  </si>
  <si>
    <t>Vida útil do compactador</t>
  </si>
  <si>
    <t>Idade do compactador</t>
  </si>
  <si>
    <t>Depreciação do compactador</t>
  </si>
  <si>
    <t>Depreciação mensal do compactador</t>
  </si>
  <si>
    <t>Total por veículo</t>
  </si>
  <si>
    <t>Total da frota</t>
  </si>
  <si>
    <t>3.1.2. Remuneração do Capital</t>
  </si>
  <si>
    <t>Custo do chassis</t>
  </si>
  <si>
    <t>Taxa de juros anual nominal</t>
  </si>
  <si>
    <t>Valor do veículo proposto (V0)</t>
  </si>
  <si>
    <t>Investimento médio total do chassis</t>
  </si>
  <si>
    <t>Remuneração mensal de capital do chassis</t>
  </si>
  <si>
    <t>Custo do compactador</t>
  </si>
  <si>
    <t>Valor do compactador proposto (V0)</t>
  </si>
  <si>
    <t>Investimento médio total do compactador</t>
  </si>
  <si>
    <t>Remuneração mensal de capital do compactador</t>
  </si>
  <si>
    <t>3.1.3. Impostos e Seguros</t>
  </si>
  <si>
    <t>IPVA</t>
  </si>
  <si>
    <t>Licenciamento e Seguro obrigatório</t>
  </si>
  <si>
    <t>Seguro contra terceiros</t>
  </si>
  <si>
    <t>Impostos e seguros mensais</t>
  </si>
  <si>
    <t>3.1.4. Consumos</t>
  </si>
  <si>
    <t>Km mensais - coleta e transporte até o destino final</t>
  </si>
  <si>
    <t>Consumo</t>
  </si>
  <si>
    <t>Custo de óleo diesel / km rodado</t>
  </si>
  <si>
    <t>km/l</t>
  </si>
  <si>
    <t>Custo mensal com óleo diesel</t>
  </si>
  <si>
    <t>km</t>
  </si>
  <si>
    <t>Custo de óleo do motor /1.000 km rodados</t>
  </si>
  <si>
    <t>l/1.000 km</t>
  </si>
  <si>
    <t>Custo mensal com óleo do motor</t>
  </si>
  <si>
    <t>Custo de óleo da transmissão /1.000 km</t>
  </si>
  <si>
    <t>Custo mensal com óleo da transmissão</t>
  </si>
  <si>
    <t>Custo de óleo hidráulico / 1.000 km</t>
  </si>
  <si>
    <t>Custo mensal com óleo hidráulico</t>
  </si>
  <si>
    <t>Custo de graxa /1.000 km rodados</t>
  </si>
  <si>
    <t>kg/1.000 km</t>
  </si>
  <si>
    <t>Custo mensal com graxa</t>
  </si>
  <si>
    <t>Custo com consumos/km rodado</t>
  </si>
  <si>
    <t>R$/km rodado</t>
  </si>
  <si>
    <t>3.1.5. Manutenção</t>
  </si>
  <si>
    <t>Custo de manutenção dos caminhões</t>
  </si>
  <si>
    <t>3.1.6. Pneus</t>
  </si>
  <si>
    <t>Custo do jogo de pneus 275/80R22,5</t>
  </si>
  <si>
    <t>Número de recapagens por pneu</t>
  </si>
  <si>
    <t>Custo de recapagem</t>
  </si>
  <si>
    <t>Custo jg. compl. + 1 recap./ km rodado</t>
  </si>
  <si>
    <t>km/jogo</t>
  </si>
  <si>
    <t>Custo mensal com pneus</t>
  </si>
  <si>
    <t>Custo Mensal com Veículos e Equipamentos (R$/mês)</t>
  </si>
  <si>
    <t>4. Ferramentas e Materiais de Consumo</t>
  </si>
  <si>
    <t>Recipiente térmico para água (5L)</t>
  </si>
  <si>
    <t>Pá de Concha</t>
  </si>
  <si>
    <t>Vassoura</t>
  </si>
  <si>
    <t>Publicidade (adesivos equipamentos)</t>
  </si>
  <si>
    <t>cj</t>
  </si>
  <si>
    <t>Publicidade (adesivos veículos)</t>
  </si>
  <si>
    <t>Custo Mensal com Ferramentas e Materiais de Consumo (R$/mês)</t>
  </si>
  <si>
    <t>5. Monitoramento da Frota</t>
  </si>
  <si>
    <t>Rastreamento e monitoramento de veículos via satélite por GPS/GSM/GPRS</t>
  </si>
  <si>
    <t>Custo mensal com rastreamento</t>
  </si>
  <si>
    <t>Custo Mensal com Monitoramento da Frota (R$/mês)</t>
  </si>
  <si>
    <t>CUSTO TOTAL MENSAL COM DESPESAS OPERACIONAIS (R$/mês)</t>
  </si>
  <si>
    <t>6. Benefícios e Despesas Indiretas - BDI</t>
  </si>
  <si>
    <t>Benefícios e despesas indiretas</t>
  </si>
  <si>
    <t>CUSTO MENSAL COM BDI (R$/mês)</t>
  </si>
  <si>
    <t>PREÇO MENSAL TOTAL (R$/mês)</t>
  </si>
  <si>
    <t>Ibiraiaras, novembro de 2023.</t>
  </si>
  <si>
    <t>________________________________</t>
  </si>
  <si>
    <t>Pâmela Hentz Cappellari</t>
  </si>
  <si>
    <t>Eng.ª Civil – CREA RS 231775</t>
  </si>
  <si>
    <t>LOTE 02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</si>
  <si>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</si>
  <si>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</si>
  <si>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</si>
  <si>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</si>
  <si>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</si>
  <si>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</si>
  <si>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</si>
  <si>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</si>
  <si>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</si>
  <si>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</si>
  <si>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</si>
  <si>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</si>
  <si>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</si>
  <si>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</si>
  <si>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</si>
  <si>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</si>
  <si>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</si>
  <si>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</si>
  <si>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</si>
  <si>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</si>
  <si>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</si>
  <si>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</si>
  <si>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</si>
  <si>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</si>
  <si>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</si>
  <si>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</si>
  <si>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</si>
  <si>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</si>
  <si>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</si>
  <si>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</si>
  <si>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</si>
  <si>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</si>
  <si>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</si>
  <si>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</si>
  <si>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</si>
  <si>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</si>
  <si>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</si>
  <si>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</si>
  <si>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</si>
  <si>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</si>
  <si>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</si>
  <si>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</si>
  <si>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</si>
  <si>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</si>
  <si>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</si>
  <si>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</si>
  <si>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</si>
  <si>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</si>
  <si>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</si>
  <si>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</si>
  <si>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</si>
  <si>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</si>
  <si>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</si>
  <si>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</si>
  <si>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</si>
  <si>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3. CAGED</t>
  </si>
  <si>
    <t>Rio Grande do Sul  - Coleta de Resíduos Não-Perigosos - CNAE 38114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</si>
  <si>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</si>
  <si>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</si>
  <si>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</si>
  <si>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</si>
  <si>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</si>
  <si>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</si>
  <si>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</si>
  <si>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</si>
  <si>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</si>
  <si>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</si>
  <si>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Acordo</t>
  </si>
  <si>
    <t xml:space="preserve"> </t>
  </si>
  <si>
    <t>Indicadores</t>
  </si>
  <si>
    <t>Estoque recuperado início do Período 01-03-2018</t>
  </si>
  <si>
    <t>Estoque recuperado final do Período 28-02-2019</t>
  </si>
  <si>
    <t>Variação Emprego Absoluta de 01-03-2018 a 28-02-2019</t>
  </si>
  <si>
    <t>Estoque Médio</t>
  </si>
  <si>
    <t>% Demitidos s/ Justa Causa em relação ao Estoque Médio</t>
  </si>
  <si>
    <t>Taxa de Rotatividade</t>
  </si>
  <si>
    <t>Rotatividade temporal (meses)</t>
  </si>
  <si>
    <t>Dias ano</t>
  </si>
  <si>
    <t>1/3 de férias (dias)</t>
  </si>
  <si>
    <t>Férias (dias)</t>
  </si>
  <si>
    <t>13º Salário (dias)</t>
  </si>
  <si>
    <t>Dias de Aviso prévio</t>
  </si>
  <si>
    <t>Multa FGTS</t>
  </si>
  <si>
    <t>4.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</si>
  <si>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</si>
  <si>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</si>
  <si>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</si>
  <si>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</si>
  <si>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</si>
  <si>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</si>
  <si>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</si>
  <si>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</si>
  <si>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</si>
  <si>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</si>
  <si>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</si>
  <si>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</si>
  <si>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</si>
  <si>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</si>
  <si>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</si>
  <si>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</si>
  <si>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</si>
  <si>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</si>
  <si>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</si>
  <si>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</si>
  <si>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5. Depreciação Referencial TCE/RS (%) LOTE 02</t>
  </si>
  <si>
    <t>Idade do veículo (ano)</t>
  </si>
  <si>
    <t>Depreciação Média</t>
  </si>
  <si>
    <t>6. Remuneração de Capital</t>
  </si>
  <si>
    <t>Fórmula de cálculo da remuneração de capital:</t>
  </si>
  <si>
    <r>
      <rPr>
        <sz val="12"/>
        <color theme="1"/>
        <rFont val="Arial"/>
        <family val="2"/>
        <charset val="1"/>
      </rPr>
      <t>J</t>
    </r>
    <r>
      <rPr>
        <vertAlign val="subscript"/>
        <sz val="12"/>
        <color rgb="FF000000"/>
        <rFont val="Arial"/>
        <family val="2"/>
        <charset val="1"/>
      </rPr>
      <t>m</t>
    </r>
    <r>
      <rPr>
        <sz val="12"/>
        <color rgb="FF000000"/>
        <rFont val="Arial"/>
        <family val="2"/>
        <charset val="1"/>
      </rPr>
      <t xml:space="preserve"> = remuneração de capital mensal</t>
    </r>
  </si>
  <si>
    <t>i = taxa de juros do mercado (Adotada a taxa SELIC)</t>
  </si>
  <si>
    <t>Im = investimento médio</t>
  </si>
  <si>
    <r>
      <rPr>
        <sz val="12"/>
        <color theme="1"/>
        <rFont val="Arial"/>
        <family val="2"/>
        <charset val="1"/>
      </rPr>
      <t>V</t>
    </r>
    <r>
      <rPr>
        <vertAlign val="subscript"/>
        <sz val="12"/>
        <color rgb="FF000000"/>
        <rFont val="Arial"/>
        <family val="2"/>
        <charset val="1"/>
      </rPr>
      <t>0</t>
    </r>
    <r>
      <rPr>
        <sz val="12"/>
        <color rgb="FF000000"/>
        <rFont val="Arial"/>
        <family val="2"/>
        <charset val="1"/>
      </rPr>
      <t xml:space="preserve"> = valor inicial do bem</t>
    </r>
  </si>
  <si>
    <r>
      <rPr>
        <sz val="12"/>
        <color theme="1"/>
        <rFont val="Arial"/>
        <family val="2"/>
        <charset val="1"/>
      </rPr>
      <t>V</t>
    </r>
    <r>
      <rPr>
        <vertAlign val="subscript"/>
        <sz val="12"/>
        <color rgb="FF000000"/>
        <rFont val="Arial"/>
        <family val="2"/>
        <charset val="1"/>
      </rPr>
      <t>r</t>
    </r>
    <r>
      <rPr>
        <sz val="12"/>
        <color rgb="FF000000"/>
        <rFont val="Arial"/>
        <family val="2"/>
        <charset val="1"/>
      </rPr>
      <t xml:space="preserve"> = valor residual do bem</t>
    </r>
  </si>
  <si>
    <t>n = vida útil do bem em anos</t>
  </si>
  <si>
    <t>7. Dimensionamento da frota</t>
  </si>
  <si>
    <t>Indicador</t>
  </si>
  <si>
    <t>Unid</t>
  </si>
  <si>
    <t>População (H)</t>
  </si>
  <si>
    <t>hab</t>
  </si>
  <si>
    <t>Geração per capita (G)</t>
  </si>
  <si>
    <t>Kg/hab.dia</t>
  </si>
  <si>
    <t>Geração total diária (Qd)</t>
  </si>
  <si>
    <t>ton/dia</t>
  </si>
  <si>
    <t>Geração Mensal</t>
  </si>
  <si>
    <t>ton</t>
  </si>
  <si>
    <t>Número de dias de coleta por semana (Dc)</t>
  </si>
  <si>
    <t>Quantitativo diário de coleta (Qc)</t>
  </si>
  <si>
    <t>Densidade RSU compactado</t>
  </si>
  <si>
    <t>Kg/m³</t>
  </si>
  <si>
    <t>Tipo de Veículo (1 = toco, 2 = truck)</t>
  </si>
  <si>
    <t>Capacidade do Compactador</t>
  </si>
  <si>
    <t>m³</t>
  </si>
  <si>
    <t>Capacidade nominal de carga (Cc)</t>
  </si>
  <si>
    <t>Número de Cargas por dia (Nc)</t>
  </si>
  <si>
    <t>Número total de percursos de coleta por veículo, por dia (Np)</t>
  </si>
  <si>
    <t>Número de veículos da Frota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</si>
</sst>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\-??_);_(@_)"/>
    <numFmt numFmtId="165" formatCode="&quot;R$ &quot;#,##0.00"/>
    <numFmt numFmtId="166" formatCode="&quot;R$ &quot;#,##0.00_);&quot;(R$ &quot;#,##0.00\)"/>
    <numFmt numFmtId="167" formatCode="_(* #,##0_);_(* \(#,##0\);_(* \-??_);_(@_)"/>
    <numFmt numFmtId="168" formatCode="_-* #,##0.00_-;\-* #,##0.00_-;_-* \-??_-;_-@_-"/>
    <numFmt numFmtId="169" formatCode="_(* #,##0.000_);_(* \(#,##0.000\);_(* \-??_);_(@_)"/>
    <numFmt numFmtId="170" formatCode="_ &quot;R$ &quot;* #,##0.00_ ;_ &quot;R$ &quot;* \-#,##0.00_ ;_ &quot;R$ &quot;* \-??_ ;_ @_ "/>
    <numFmt numFmtId="171" formatCode="0.0000"/>
    <numFmt numFmtId="172" formatCode="_-* #,##0.000_-;\-* #,##0.000_-;_-* \-??_-;_-@_-"/>
    <numFmt numFmtId="173" formatCode="_-* #,##0.00_-;\-* #,##0.00_-;_-* \-?_-;_-@_-"/>
    <numFmt numFmtId="174" formatCode="_-* #,##0_-;\-* #,##0_-;_-* \-?_-;_-@_-"/>
  </numFmts>
  <fonts count="32" x14ac:knownFonts="1">
    <font>
      <sz val="10"/>
      <name val="Arial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FF0000"/>
      <name val="Arial"/>
      <family val="2"/>
      <charset val="1"/>
    </font>
    <font>
      <sz val="12"/>
      <name val="Arial"/>
      <family val="2"/>
      <charset val="1"/>
    </font>
    <font>
      <b/>
      <sz val="14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u/>
      <sz val="9"/>
      <name val="Arial"/>
      <family val="2"/>
      <charset val="1"/>
    </font>
    <font>
      <sz val="8"/>
      <name val="Arial"/>
      <family val="2"/>
      <charset val="1"/>
    </font>
    <font>
      <u/>
      <sz val="10"/>
      <color rgb="FF0000FF"/>
      <name val="Arial"/>
      <family val="2"/>
      <charset val="1"/>
    </font>
    <font>
      <sz val="6"/>
      <name val="Arial"/>
      <family val="2"/>
      <charset val="1"/>
    </font>
    <font>
      <sz val="9"/>
      <name val="Arial"/>
      <family val="2"/>
      <charset val="1"/>
    </font>
    <font>
      <i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sz val="13"/>
      <color theme="1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1"/>
      <color theme="1"/>
      <name val="Arial"/>
      <family val="2"/>
      <charset val="1"/>
    </font>
    <font>
      <sz val="9"/>
      <color rgb="FF000000"/>
      <name val="Tahoma"/>
      <family val="2"/>
      <charset val="1"/>
    </font>
    <font>
      <sz val="12"/>
      <color theme="1"/>
      <name val="Arial"/>
      <family val="2"/>
      <charset val="1"/>
    </font>
    <font>
      <vertAlign val="subscript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8"/>
      <color rgb="FF000000"/>
      <name val="Tahoma"/>
      <family val="2"/>
      <charset val="1"/>
    </font>
    <font>
      <sz val="10"/>
      <name val="Arial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theme="3" tint="0.79989013336588644"/>
        <bgColor rgb="FFD9D9D9"/>
      </patternFill>
    </fill>
    <fill>
      <patternFill patternType="solid">
        <fgColor theme="0" tint="-0.14999847407452621"/>
        <bgColor rgb="FFDDD9C3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2"/>
        <bgColor rgb="FFD9D9D9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164" fontId="31" fillId="0" borderId="0" applyBorder="0" applyProtection="0"/>
    <xf numFmtId="170" fontId="31" fillId="0" borderId="0" applyBorder="0" applyProtection="0"/>
    <xf numFmtId="9" fontId="31" fillId="0" borderId="0" applyBorder="0" applyProtection="0"/>
    <xf numFmtId="0" fontId="12" fillId="0" borderId="0" applyBorder="0" applyProtection="0"/>
  </cellStyleXfs>
  <cellXfs count="279">
    <xf numFmtId="0" fontId="0" fillId="0" borderId="0" xfId="0"/>
    <xf numFmtId="164" fontId="8" fillId="0" borderId="10" xfId="1" applyFont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1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31" fillId="0" borderId="0" xfId="1" applyBorder="1" applyAlignment="1" applyProtection="1">
      <alignment vertical="center"/>
    </xf>
    <xf numFmtId="4" fontId="4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164" fontId="6" fillId="0" borderId="0" xfId="1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164" fontId="31" fillId="0" borderId="4" xfId="1" applyBorder="1" applyAlignment="1" applyProtection="1">
      <alignment vertical="center"/>
    </xf>
    <xf numFmtId="164" fontId="8" fillId="0" borderId="6" xfId="1" applyFont="1" applyBorder="1" applyAlignment="1" applyProtection="1">
      <alignment horizontal="center" vertical="center"/>
    </xf>
    <xf numFmtId="164" fontId="31" fillId="0" borderId="7" xfId="1" applyBorder="1" applyAlignment="1" applyProtection="1">
      <alignment vertical="center"/>
    </xf>
    <xf numFmtId="164" fontId="8" fillId="0" borderId="7" xfId="1" applyFont="1" applyBorder="1" applyAlignment="1" applyProtection="1">
      <alignment vertical="center"/>
    </xf>
    <xf numFmtId="164" fontId="8" fillId="0" borderId="8" xfId="1" applyFont="1" applyBorder="1" applyAlignment="1" applyProtection="1">
      <alignment vertical="center"/>
    </xf>
    <xf numFmtId="164" fontId="8" fillId="0" borderId="9" xfId="1" applyFont="1" applyBorder="1" applyAlignment="1" applyProtection="1">
      <alignment horizontal="center" vertical="center"/>
    </xf>
    <xf numFmtId="164" fontId="8" fillId="0" borderId="10" xfId="1" applyFont="1" applyBorder="1" applyAlignment="1" applyProtection="1">
      <alignment vertical="center"/>
    </xf>
    <xf numFmtId="164" fontId="8" fillId="0" borderId="11" xfId="0" applyNumberFormat="1" applyFont="1" applyBorder="1" applyAlignment="1">
      <alignment vertical="center"/>
    </xf>
    <xf numFmtId="164" fontId="8" fillId="0" borderId="11" xfId="1" applyFont="1" applyBorder="1" applyAlignment="1" applyProtection="1">
      <alignment vertical="center"/>
    </xf>
    <xf numFmtId="165" fontId="8" fillId="0" borderId="12" xfId="0" applyNumberFormat="1" applyFont="1" applyBorder="1" applyAlignment="1">
      <alignment vertical="center"/>
    </xf>
    <xf numFmtId="10" fontId="8" fillId="0" borderId="13" xfId="3" applyNumberFormat="1" applyFont="1" applyBorder="1" applyAlignment="1" applyProtection="1">
      <alignment vertical="center"/>
    </xf>
    <xf numFmtId="164" fontId="8" fillId="0" borderId="0" xfId="1" applyFont="1" applyBorder="1" applyAlignment="1" applyProtection="1">
      <alignment vertical="center"/>
    </xf>
    <xf numFmtId="0" fontId="8" fillId="0" borderId="0" xfId="0" applyFont="1" applyAlignment="1">
      <alignment vertical="center"/>
    </xf>
    <xf numFmtId="164" fontId="31" fillId="0" borderId="10" xfId="1" applyBorder="1" applyAlignment="1" applyProtection="1">
      <alignment vertical="center"/>
    </xf>
    <xf numFmtId="164" fontId="0" fillId="0" borderId="11" xfId="0" applyNumberFormat="1" applyBorder="1" applyAlignment="1">
      <alignment vertical="center"/>
    </xf>
    <xf numFmtId="164" fontId="31" fillId="0" borderId="11" xfId="1" applyBorder="1" applyAlignment="1" applyProtection="1">
      <alignment vertical="center"/>
    </xf>
    <xf numFmtId="165" fontId="0" fillId="0" borderId="12" xfId="0" applyNumberFormat="1" applyBorder="1" applyAlignment="1">
      <alignment vertical="center"/>
    </xf>
    <xf numFmtId="10" fontId="31" fillId="0" borderId="13" xfId="3" applyNumberFormat="1" applyBorder="1" applyAlignment="1" applyProtection="1">
      <alignment vertical="center"/>
    </xf>
    <xf numFmtId="4" fontId="8" fillId="0" borderId="11" xfId="0" applyNumberFormat="1" applyFont="1" applyBorder="1" applyAlignment="1">
      <alignment horizontal="center" vertical="center"/>
    </xf>
    <xf numFmtId="164" fontId="1" fillId="0" borderId="10" xfId="1" applyFont="1" applyBorder="1" applyAlignment="1" applyProtection="1">
      <alignment horizontal="left" vertical="center"/>
    </xf>
    <xf numFmtId="4" fontId="0" fillId="0" borderId="11" xfId="0" applyNumberFormat="1" applyBorder="1" applyAlignment="1">
      <alignment horizontal="center" vertical="center"/>
    </xf>
    <xf numFmtId="10" fontId="1" fillId="0" borderId="13" xfId="3" applyNumberFormat="1" applyFont="1" applyBorder="1" applyAlignment="1" applyProtection="1">
      <alignment vertical="center"/>
    </xf>
    <xf numFmtId="165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164" fontId="8" fillId="0" borderId="16" xfId="1" applyFont="1" applyBorder="1" applyAlignment="1" applyProtection="1">
      <alignment horizontal="left" vertical="center"/>
    </xf>
    <xf numFmtId="4" fontId="8" fillId="0" borderId="17" xfId="0" applyNumberFormat="1" applyFont="1" applyBorder="1" applyAlignment="1">
      <alignment horizontal="center" vertical="center"/>
    </xf>
    <xf numFmtId="164" fontId="8" fillId="0" borderId="17" xfId="1" applyFont="1" applyBorder="1" applyAlignment="1" applyProtection="1">
      <alignment vertical="center"/>
    </xf>
    <xf numFmtId="166" fontId="8" fillId="0" borderId="18" xfId="0" applyNumberFormat="1" applyFont="1" applyBorder="1" applyAlignment="1">
      <alignment vertical="center"/>
    </xf>
    <xf numFmtId="9" fontId="8" fillId="0" borderId="19" xfId="3" applyFont="1" applyBorder="1" applyAlignment="1" applyProtection="1">
      <alignment vertical="center"/>
    </xf>
    <xf numFmtId="164" fontId="8" fillId="0" borderId="21" xfId="1" applyFont="1" applyBorder="1" applyAlignment="1" applyProtection="1">
      <alignment horizontal="right" vertical="center"/>
    </xf>
    <xf numFmtId="164" fontId="1" fillId="0" borderId="6" xfId="1" applyFont="1" applyBorder="1" applyAlignment="1" applyProtection="1">
      <alignment vertical="center"/>
    </xf>
    <xf numFmtId="164" fontId="1" fillId="0" borderId="7" xfId="1" applyFont="1" applyBorder="1" applyAlignment="1" applyProtection="1">
      <alignment vertical="center"/>
    </xf>
    <xf numFmtId="0" fontId="0" fillId="0" borderId="7" xfId="0" applyBorder="1" applyAlignment="1">
      <alignment vertical="center"/>
    </xf>
    <xf numFmtId="1" fontId="1" fillId="0" borderId="9" xfId="1" applyNumberFormat="1" applyFont="1" applyBorder="1" applyAlignment="1" applyProtection="1">
      <alignment horizontal="center" vertical="center"/>
    </xf>
    <xf numFmtId="164" fontId="1" fillId="0" borderId="10" xfId="1" applyFont="1" applyBorder="1" applyAlignment="1" applyProtection="1">
      <alignment vertical="center"/>
    </xf>
    <xf numFmtId="164" fontId="1" fillId="0" borderId="11" xfId="1" applyFont="1" applyBorder="1" applyAlignment="1" applyProtection="1">
      <alignment vertical="center"/>
    </xf>
    <xf numFmtId="0" fontId="0" fillId="0" borderId="11" xfId="0" applyBorder="1" applyAlignment="1">
      <alignment vertical="center"/>
    </xf>
    <xf numFmtId="1" fontId="1" fillId="0" borderId="22" xfId="1" applyNumberFormat="1" applyFont="1" applyBorder="1" applyAlignment="1" applyProtection="1">
      <alignment horizontal="center" vertical="center"/>
    </xf>
    <xf numFmtId="164" fontId="8" fillId="0" borderId="23" xfId="1" applyFont="1" applyBorder="1" applyAlignment="1" applyProtection="1">
      <alignment vertical="center"/>
    </xf>
    <xf numFmtId="4" fontId="8" fillId="0" borderId="24" xfId="0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1" fontId="8" fillId="0" borderId="25" xfId="1" applyNumberFormat="1" applyFont="1" applyBorder="1" applyAlignment="1" applyProtection="1">
      <alignment horizontal="center" vertical="center"/>
    </xf>
    <xf numFmtId="164" fontId="8" fillId="0" borderId="3" xfId="1" applyFont="1" applyBorder="1" applyAlignment="1" applyProtection="1">
      <alignment vertical="center"/>
    </xf>
    <xf numFmtId="4" fontId="8" fillId="0" borderId="0" xfId="0" applyNumberFormat="1" applyFont="1" applyAlignment="1">
      <alignment vertical="center"/>
    </xf>
    <xf numFmtId="164" fontId="1" fillId="0" borderId="4" xfId="1" applyFont="1" applyBorder="1" applyAlignment="1" applyProtection="1">
      <alignment vertical="center"/>
    </xf>
    <xf numFmtId="1" fontId="1" fillId="0" borderId="28" xfId="1" applyNumberFormat="1" applyFont="1" applyBorder="1" applyAlignment="1" applyProtection="1">
      <alignment horizontal="center" vertical="center"/>
    </xf>
    <xf numFmtId="1" fontId="1" fillId="0" borderId="0" xfId="1" applyNumberFormat="1" applyFont="1" applyBorder="1" applyAlignment="1" applyProtection="1">
      <alignment horizontal="center" vertical="center"/>
    </xf>
    <xf numFmtId="167" fontId="1" fillId="0" borderId="0" xfId="1" applyNumberFormat="1" applyFont="1" applyBorder="1" applyAlignment="1" applyProtection="1">
      <alignment horizontal="center" vertical="center"/>
    </xf>
    <xf numFmtId="164" fontId="8" fillId="0" borderId="16" xfId="1" applyFont="1" applyBorder="1" applyAlignment="1" applyProtection="1">
      <alignment vertical="center"/>
    </xf>
    <xf numFmtId="10" fontId="8" fillId="2" borderId="29" xfId="3" applyNumberFormat="1" applyFont="1" applyFill="1" applyBorder="1" applyAlignment="1" applyProtection="1">
      <alignment vertical="center"/>
    </xf>
    <xf numFmtId="167" fontId="8" fillId="0" borderId="0" xfId="1" applyNumberFormat="1" applyFont="1" applyBorder="1" applyAlignment="1" applyProtection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164" fontId="9" fillId="4" borderId="30" xfId="1" applyFont="1" applyFill="1" applyBorder="1" applyAlignment="1" applyProtection="1">
      <alignment horizontal="center" vertical="center"/>
    </xf>
    <xf numFmtId="164" fontId="9" fillId="4" borderId="19" xfId="1" applyFont="1" applyFill="1" applyBorder="1" applyAlignment="1" applyProtection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164" fontId="1" fillId="2" borderId="31" xfId="1" applyFont="1" applyFill="1" applyBorder="1" applyAlignment="1" applyProtection="1">
      <alignment horizontal="center" vertical="center"/>
    </xf>
    <xf numFmtId="164" fontId="1" fillId="0" borderId="31" xfId="1" applyFont="1" applyBorder="1" applyAlignment="1" applyProtection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64" fontId="1" fillId="0" borderId="12" xfId="1" applyFont="1" applyBorder="1" applyAlignment="1" applyProtection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0" borderId="0" xfId="1" applyFont="1" applyBorder="1" applyAlignment="1" applyProtection="1">
      <alignment horizontal="center" vertical="center"/>
    </xf>
    <xf numFmtId="164" fontId="8" fillId="0" borderId="14" xfId="1" applyFont="1" applyBorder="1" applyAlignment="1" applyProtection="1">
      <alignment horizontal="center" vertical="center"/>
    </xf>
    <xf numFmtId="164" fontId="1" fillId="5" borderId="12" xfId="1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1" fillId="0" borderId="0" xfId="1" applyFont="1" applyBorder="1" applyAlignment="1" applyProtection="1">
      <alignment horizontal="right" vertical="center"/>
    </xf>
    <xf numFmtId="164" fontId="1" fillId="0" borderId="12" xfId="1" applyFont="1" applyBorder="1" applyAlignment="1" applyProtection="1">
      <alignment vertical="center"/>
    </xf>
    <xf numFmtId="164" fontId="8" fillId="4" borderId="29" xfId="1" applyFont="1" applyFill="1" applyBorder="1" applyAlignment="1" applyProtection="1">
      <alignment horizontal="center" vertical="center"/>
    </xf>
    <xf numFmtId="2" fontId="1" fillId="0" borderId="12" xfId="1" applyNumberFormat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1" fontId="1" fillId="2" borderId="12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164" fontId="8" fillId="0" borderId="12" xfId="1" applyFont="1" applyBorder="1" applyAlignment="1" applyProtection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8" fillId="0" borderId="11" xfId="1" applyFont="1" applyBorder="1" applyAlignment="1" applyProtection="1">
      <alignment horizontal="center" vertical="center"/>
    </xf>
    <xf numFmtId="0" fontId="1" fillId="0" borderId="0" xfId="0" applyFont="1" applyAlignment="1">
      <alignment horizontal="right" vertical="center"/>
    </xf>
    <xf numFmtId="167" fontId="1" fillId="0" borderId="12" xfId="1" applyNumberFormat="1" applyFont="1" applyBorder="1" applyAlignment="1" applyProtection="1">
      <alignment horizontal="center" vertical="center"/>
    </xf>
    <xf numFmtId="164" fontId="1" fillId="2" borderId="0" xfId="1" applyFont="1" applyFill="1" applyBorder="1" applyAlignment="1" applyProtection="1">
      <alignment vertical="center"/>
    </xf>
    <xf numFmtId="167" fontId="1" fillId="0" borderId="12" xfId="1" applyNumberFormat="1" applyFont="1" applyBorder="1" applyAlignment="1" applyProtection="1">
      <alignment vertical="center"/>
    </xf>
    <xf numFmtId="164" fontId="8" fillId="4" borderId="5" xfId="1" applyFont="1" applyFill="1" applyBorder="1" applyAlignment="1" applyProtection="1">
      <alignment vertical="center"/>
    </xf>
    <xf numFmtId="164" fontId="1" fillId="2" borderId="12" xfId="1" applyFont="1" applyFill="1" applyBorder="1" applyAlignment="1" applyProtection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164" fontId="8" fillId="0" borderId="29" xfId="1" applyFont="1" applyBorder="1" applyAlignment="1" applyProtection="1">
      <alignment vertical="center"/>
    </xf>
    <xf numFmtId="0" fontId="9" fillId="4" borderId="30" xfId="0" applyFont="1" applyFill="1" applyBorder="1" applyAlignment="1">
      <alignment horizontal="center" vertical="center" wrapText="1"/>
    </xf>
    <xf numFmtId="13" fontId="1" fillId="2" borderId="12" xfId="0" applyNumberFormat="1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164" fontId="1" fillId="0" borderId="17" xfId="1" applyFont="1" applyBorder="1" applyAlignment="1" applyProtection="1">
      <alignment vertical="center"/>
    </xf>
    <xf numFmtId="164" fontId="1" fillId="0" borderId="29" xfId="1" applyFont="1" applyBorder="1" applyAlignment="1" applyProtection="1">
      <alignment vertical="center"/>
    </xf>
    <xf numFmtId="164" fontId="8" fillId="4" borderId="5" xfId="1" applyFont="1" applyFill="1" applyBorder="1" applyAlignment="1" applyProtection="1">
      <alignment horizontal="center" vertical="center"/>
    </xf>
    <xf numFmtId="0" fontId="12" fillId="0" borderId="0" xfId="4" applyBorder="1" applyAlignment="1" applyProtection="1">
      <alignment vertical="center"/>
    </xf>
    <xf numFmtId="0" fontId="1" fillId="0" borderId="0" xfId="0" applyFont="1" applyAlignment="1">
      <alignment horizontal="justify" wrapText="1"/>
    </xf>
    <xf numFmtId="164" fontId="1" fillId="0" borderId="0" xfId="1" applyFont="1" applyBorder="1" applyAlignment="1" applyProtection="1">
      <alignment horizontal="center" vertical="center"/>
    </xf>
    <xf numFmtId="168" fontId="1" fillId="0" borderId="0" xfId="0" applyNumberFormat="1" applyFont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164" fontId="8" fillId="0" borderId="32" xfId="1" applyFont="1" applyBorder="1" applyAlignment="1" applyProtection="1">
      <alignment horizontal="center" vertical="center"/>
    </xf>
    <xf numFmtId="164" fontId="1" fillId="5" borderId="12" xfId="1" applyFont="1" applyFill="1" applyBorder="1" applyAlignment="1" applyProtection="1">
      <alignment vertical="center"/>
    </xf>
    <xf numFmtId="0" fontId="8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64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8" fillId="0" borderId="12" xfId="0" applyFont="1" applyBorder="1" applyAlignment="1">
      <alignment vertical="center" wrapText="1"/>
    </xf>
    <xf numFmtId="4" fontId="1" fillId="2" borderId="12" xfId="0" applyNumberFormat="1" applyFont="1" applyFill="1" applyBorder="1" applyAlignment="1">
      <alignment vertical="center"/>
    </xf>
    <xf numFmtId="164" fontId="13" fillId="0" borderId="0" xfId="1" applyFont="1" applyBorder="1" applyAlignment="1" applyProtection="1">
      <alignment vertical="center"/>
    </xf>
    <xf numFmtId="4" fontId="1" fillId="2" borderId="31" xfId="0" applyNumberFormat="1" applyFont="1" applyFill="1" applyBorder="1" applyAlignment="1">
      <alignment horizontal="center" vertical="center"/>
    </xf>
    <xf numFmtId="169" fontId="1" fillId="2" borderId="31" xfId="1" applyNumberFormat="1" applyFont="1" applyFill="1" applyBorder="1" applyAlignment="1" applyProtection="1">
      <alignment horizontal="center" vertical="center"/>
    </xf>
    <xf numFmtId="169" fontId="1" fillId="0" borderId="31" xfId="1" applyNumberFormat="1" applyFont="1" applyBorder="1" applyAlignment="1" applyProtection="1">
      <alignment horizontal="center" vertical="center"/>
    </xf>
    <xf numFmtId="4" fontId="1" fillId="2" borderId="12" xfId="0" applyNumberFormat="1" applyFont="1" applyFill="1" applyBorder="1" applyAlignment="1">
      <alignment horizontal="center" vertical="center"/>
    </xf>
    <xf numFmtId="0" fontId="1" fillId="0" borderId="12" xfId="1" applyNumberFormat="1" applyFont="1" applyBorder="1" applyAlignment="1" applyProtection="1">
      <alignment horizontal="right" vertical="center"/>
    </xf>
    <xf numFmtId="169" fontId="1" fillId="0" borderId="12" xfId="1" applyNumberFormat="1" applyFont="1" applyBorder="1" applyAlignment="1" applyProtection="1">
      <alignment horizontal="center" vertical="center"/>
    </xf>
    <xf numFmtId="167" fontId="8" fillId="0" borderId="12" xfId="1" applyNumberFormat="1" applyFont="1" applyBorder="1" applyAlignment="1" applyProtection="1">
      <alignment horizontal="center" vertical="center"/>
    </xf>
    <xf numFmtId="169" fontId="8" fillId="0" borderId="12" xfId="1" applyNumberFormat="1" applyFont="1" applyBorder="1" applyAlignment="1" applyProtection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164" fontId="15" fillId="0" borderId="12" xfId="1" applyFont="1" applyBorder="1" applyAlignment="1" applyProtection="1">
      <alignment horizontal="center" vertical="center"/>
    </xf>
    <xf numFmtId="164" fontId="16" fillId="0" borderId="0" xfId="1" applyFont="1" applyBorder="1" applyAlignment="1" applyProtection="1">
      <alignment vertical="center"/>
    </xf>
    <xf numFmtId="0" fontId="16" fillId="0" borderId="0" xfId="0" applyFont="1" applyAlignment="1">
      <alignment vertical="center"/>
    </xf>
    <xf numFmtId="10" fontId="1" fillId="5" borderId="12" xfId="3" applyNumberFormat="1" applyFont="1" applyFill="1" applyBorder="1" applyAlignment="1" applyProtection="1">
      <alignment horizontal="center" vertical="center"/>
    </xf>
    <xf numFmtId="170" fontId="8" fillId="4" borderId="5" xfId="2" applyFont="1" applyFill="1" applyBorder="1" applyAlignment="1" applyProtection="1">
      <alignment vertical="center"/>
    </xf>
    <xf numFmtId="164" fontId="2" fillId="0" borderId="0" xfId="1" applyFont="1" applyBorder="1" applyAlignment="1" applyProtection="1">
      <alignment vertical="center"/>
    </xf>
    <xf numFmtId="0" fontId="0" fillId="0" borderId="0" xfId="0" applyAlignment="1">
      <alignment horizontal="center"/>
    </xf>
    <xf numFmtId="170" fontId="2" fillId="0" borderId="0" xfId="2" applyFont="1" applyBorder="1" applyAlignment="1" applyProtection="1">
      <alignment vertical="center"/>
    </xf>
    <xf numFmtId="0" fontId="1" fillId="0" borderId="0" xfId="0" applyFont="1"/>
    <xf numFmtId="4" fontId="1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34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18" fillId="0" borderId="22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left" vertical="center"/>
    </xf>
    <xf numFmtId="10" fontId="19" fillId="0" borderId="22" xfId="0" applyNumberFormat="1" applyFont="1" applyBorder="1" applyAlignment="1">
      <alignment horizontal="right" vertical="center"/>
    </xf>
    <xf numFmtId="0" fontId="18" fillId="6" borderId="34" xfId="0" applyFont="1" applyFill="1" applyBorder="1" applyAlignment="1">
      <alignment horizontal="left" vertical="center"/>
    </xf>
    <xf numFmtId="0" fontId="19" fillId="6" borderId="12" xfId="0" applyFont="1" applyFill="1" applyBorder="1" applyAlignment="1">
      <alignment horizontal="left" vertical="center"/>
    </xf>
    <xf numFmtId="10" fontId="19" fillId="6" borderId="22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0" fontId="1" fillId="0" borderId="0" xfId="0" applyNumberFormat="1" applyFont="1"/>
    <xf numFmtId="9" fontId="18" fillId="0" borderId="0" xfId="3" applyFont="1" applyBorder="1" applyAlignment="1" applyProtection="1">
      <alignment horizontal="right" vertical="center"/>
    </xf>
    <xf numFmtId="0" fontId="18" fillId="0" borderId="12" xfId="0" applyFont="1" applyBorder="1" applyAlignment="1">
      <alignment horizontal="left" vertical="center" wrapText="1"/>
    </xf>
    <xf numFmtId="0" fontId="18" fillId="7" borderId="27" xfId="0" applyFont="1" applyFill="1" applyBorder="1" applyAlignment="1">
      <alignment horizontal="left" vertical="center"/>
    </xf>
    <xf numFmtId="0" fontId="19" fillId="7" borderId="15" xfId="0" applyFont="1" applyFill="1" applyBorder="1" applyAlignment="1">
      <alignment horizontal="left" vertical="center"/>
    </xf>
    <xf numFmtId="10" fontId="19" fillId="7" borderId="28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10" fontId="19" fillId="0" borderId="0" xfId="0" applyNumberFormat="1" applyFont="1" applyAlignment="1">
      <alignment horizontal="right" vertical="center"/>
    </xf>
    <xf numFmtId="10" fontId="18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justify" vertical="center"/>
    </xf>
    <xf numFmtId="0" fontId="12" fillId="0" borderId="0" xfId="4" applyBorder="1" applyAlignment="1" applyProtection="1">
      <alignment horizontal="left" vertical="center"/>
    </xf>
    <xf numFmtId="0" fontId="23" fillId="0" borderId="0" xfId="0" applyFont="1"/>
    <xf numFmtId="0" fontId="18" fillId="0" borderId="0" xfId="0" applyFont="1" applyAlignment="1">
      <alignment horizontal="right" vertical="center"/>
    </xf>
    <xf numFmtId="0" fontId="8" fillId="0" borderId="0" xfId="0" applyFont="1"/>
    <xf numFmtId="0" fontId="1" fillId="0" borderId="0" xfId="0" applyFont="1" applyAlignment="1">
      <alignment wrapText="1"/>
    </xf>
    <xf numFmtId="0" fontId="24" fillId="0" borderId="0" xfId="0" applyFont="1"/>
    <xf numFmtId="0" fontId="25" fillId="0" borderId="10" xfId="0" applyFont="1" applyBorder="1"/>
    <xf numFmtId="0" fontId="6" fillId="0" borderId="13" xfId="0" applyFont="1" applyBorder="1"/>
    <xf numFmtId="0" fontId="25" fillId="0" borderId="35" xfId="0" applyFont="1" applyBorder="1"/>
    <xf numFmtId="0" fontId="25" fillId="2" borderId="22" xfId="0" applyFont="1" applyFill="1" applyBorder="1"/>
    <xf numFmtId="0" fontId="25" fillId="0" borderId="34" xfId="0" applyFont="1" applyBorder="1"/>
    <xf numFmtId="0" fontId="6" fillId="0" borderId="34" xfId="0" applyFont="1" applyBorder="1"/>
    <xf numFmtId="0" fontId="6" fillId="2" borderId="22" xfId="0" applyFont="1" applyFill="1" applyBorder="1"/>
    <xf numFmtId="0" fontId="6" fillId="0" borderId="35" xfId="0" applyFont="1" applyBorder="1"/>
    <xf numFmtId="0" fontId="6" fillId="2" borderId="36" xfId="0" applyFont="1" applyFill="1" applyBorder="1"/>
    <xf numFmtId="0" fontId="6" fillId="0" borderId="37" xfId="0" applyFont="1" applyBorder="1"/>
    <xf numFmtId="0" fontId="6" fillId="0" borderId="38" xfId="0" applyFont="1" applyBorder="1"/>
    <xf numFmtId="0" fontId="6" fillId="2" borderId="39" xfId="0" applyFont="1" applyFill="1" applyBorder="1"/>
    <xf numFmtId="0" fontId="6" fillId="0" borderId="22" xfId="0" applyFont="1" applyBorder="1"/>
    <xf numFmtId="0" fontId="6" fillId="0" borderId="3" xfId="0" applyFont="1" applyBorder="1"/>
    <xf numFmtId="0" fontId="6" fillId="0" borderId="4" xfId="0" applyFont="1" applyBorder="1"/>
    <xf numFmtId="0" fontId="7" fillId="0" borderId="36" xfId="0" applyFont="1" applyBorder="1"/>
    <xf numFmtId="10" fontId="25" fillId="0" borderId="22" xfId="3" applyNumberFormat="1" applyFont="1" applyBorder="1" applyProtection="1"/>
    <xf numFmtId="171" fontId="7" fillId="0" borderId="22" xfId="0" applyNumberFormat="1" applyFont="1" applyBorder="1"/>
    <xf numFmtId="0" fontId="25" fillId="0" borderId="22" xfId="0" applyFont="1" applyBorder="1"/>
    <xf numFmtId="0" fontId="25" fillId="0" borderId="36" xfId="0" applyFont="1" applyBorder="1"/>
    <xf numFmtId="9" fontId="25" fillId="0" borderId="22" xfId="3" applyFont="1" applyBorder="1" applyProtection="1"/>
    <xf numFmtId="0" fontId="25" fillId="0" borderId="23" xfId="0" applyFont="1" applyBorder="1"/>
    <xf numFmtId="9" fontId="7" fillId="0" borderId="25" xfId="3" applyFont="1" applyBorder="1" applyProtection="1"/>
    <xf numFmtId="0" fontId="6" fillId="0" borderId="0" xfId="0" applyFont="1"/>
    <xf numFmtId="0" fontId="6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9" fontId="6" fillId="0" borderId="34" xfId="3" applyFont="1" applyBorder="1" applyProtection="1"/>
    <xf numFmtId="9" fontId="6" fillId="0" borderId="12" xfId="3" applyFont="1" applyBorder="1" applyAlignment="1" applyProtection="1">
      <alignment horizontal="center"/>
    </xf>
    <xf numFmtId="9" fontId="6" fillId="0" borderId="22" xfId="3" applyFont="1" applyBorder="1" applyProtection="1"/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10" fontId="6" fillId="2" borderId="9" xfId="0" applyNumberFormat="1" applyFont="1" applyFill="1" applyBorder="1" applyAlignment="1">
      <alignment horizontal="center" vertical="center"/>
    </xf>
    <xf numFmtId="10" fontId="6" fillId="0" borderId="34" xfId="3" applyNumberFormat="1" applyFont="1" applyBorder="1" applyAlignment="1" applyProtection="1">
      <alignment horizontal="right"/>
    </xf>
    <xf numFmtId="10" fontId="6" fillId="0" borderId="12" xfId="3" applyNumberFormat="1" applyFont="1" applyBorder="1" applyAlignment="1" applyProtection="1">
      <alignment horizontal="right"/>
    </xf>
    <xf numFmtId="10" fontId="6" fillId="0" borderId="22" xfId="3" applyNumberFormat="1" applyFont="1" applyBorder="1" applyAlignment="1" applyProtection="1">
      <alignment horizontal="right"/>
    </xf>
    <xf numFmtId="0" fontId="6" fillId="0" borderId="34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10" fontId="6" fillId="2" borderId="22" xfId="0" applyNumberFormat="1" applyFont="1" applyFill="1" applyBorder="1" applyAlignment="1">
      <alignment horizontal="center" vertical="center"/>
    </xf>
    <xf numFmtId="10" fontId="6" fillId="0" borderId="22" xfId="0" applyNumberFormat="1" applyFont="1" applyBorder="1" applyAlignment="1">
      <alignment horizontal="center" vertical="center"/>
    </xf>
    <xf numFmtId="10" fontId="6" fillId="2" borderId="12" xfId="3" applyNumberFormat="1" applyFont="1" applyFill="1" applyBorder="1" applyAlignment="1" applyProtection="1">
      <alignment horizontal="center"/>
    </xf>
    <xf numFmtId="10" fontId="6" fillId="0" borderId="22" xfId="3" applyNumberFormat="1" applyFont="1" applyBorder="1" applyProtection="1"/>
    <xf numFmtId="0" fontId="6" fillId="0" borderId="34" xfId="0" applyFont="1" applyBorder="1" applyAlignment="1">
      <alignment horizontal="right"/>
    </xf>
    <xf numFmtId="0" fontId="6" fillId="2" borderId="12" xfId="0" applyFont="1" applyFill="1" applyBorder="1" applyAlignment="1">
      <alignment horizontal="center"/>
    </xf>
    <xf numFmtId="0" fontId="6" fillId="0" borderId="27" xfId="0" applyFont="1" applyBorder="1" applyAlignment="1">
      <alignment horizontal="left" vertical="center"/>
    </xf>
    <xf numFmtId="10" fontId="6" fillId="2" borderId="28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10" fontId="6" fillId="0" borderId="44" xfId="0" applyNumberFormat="1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45" xfId="0" applyFont="1" applyBorder="1" applyAlignment="1">
      <alignment vertical="center"/>
    </xf>
    <xf numFmtId="0" fontId="7" fillId="6" borderId="16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vertical="center"/>
    </xf>
    <xf numFmtId="10" fontId="7" fillId="6" borderId="29" xfId="0" applyNumberFormat="1" applyFont="1" applyFill="1" applyBorder="1" applyAlignment="1">
      <alignment horizontal="center" vertical="center" wrapText="1"/>
    </xf>
    <xf numFmtId="10" fontId="6" fillId="0" borderId="27" xfId="3" applyNumberFormat="1" applyFont="1" applyBorder="1" applyAlignment="1" applyProtection="1">
      <alignment horizontal="right"/>
    </xf>
    <xf numFmtId="10" fontId="6" fillId="0" borderId="15" xfId="3" applyNumberFormat="1" applyFont="1" applyBorder="1" applyAlignment="1" applyProtection="1">
      <alignment horizontal="right"/>
    </xf>
    <xf numFmtId="10" fontId="6" fillId="0" borderId="28" xfId="3" applyNumberFormat="1" applyFont="1" applyBorder="1" applyAlignment="1" applyProtection="1">
      <alignment horizontal="right"/>
    </xf>
    <xf numFmtId="0" fontId="19" fillId="0" borderId="34" xfId="0" applyFont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2" fontId="18" fillId="9" borderId="12" xfId="0" applyNumberFormat="1" applyFont="1" applyFill="1" applyBorder="1" applyAlignment="1">
      <alignment horizontal="right" vertical="center"/>
    </xf>
    <xf numFmtId="0" fontId="18" fillId="0" borderId="27" xfId="0" applyFont="1" applyBorder="1" applyAlignment="1">
      <alignment horizontal="center" vertical="center"/>
    </xf>
    <xf numFmtId="2" fontId="18" fillId="9" borderId="15" xfId="0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center"/>
    </xf>
    <xf numFmtId="0" fontId="1" fillId="0" borderId="46" xfId="0" applyFont="1" applyBorder="1"/>
    <xf numFmtId="0" fontId="27" fillId="0" borderId="46" xfId="0" applyFont="1" applyBorder="1" applyAlignment="1">
      <alignment horizontal="justify"/>
    </xf>
    <xf numFmtId="0" fontId="27" fillId="0" borderId="47" xfId="0" applyFont="1" applyBorder="1" applyAlignment="1">
      <alignment horizontal="justify"/>
    </xf>
    <xf numFmtId="0" fontId="5" fillId="0" borderId="3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34" xfId="0" applyFont="1" applyBorder="1"/>
    <xf numFmtId="0" fontId="7" fillId="0" borderId="12" xfId="0" applyFont="1" applyBorder="1"/>
    <xf numFmtId="0" fontId="7" fillId="0" borderId="22" xfId="0" applyFont="1" applyBorder="1"/>
    <xf numFmtId="0" fontId="6" fillId="0" borderId="12" xfId="0" applyFont="1" applyBorder="1"/>
    <xf numFmtId="172" fontId="20" fillId="0" borderId="22" xfId="1" applyNumberFormat="1" applyFont="1" applyBorder="1" applyAlignment="1" applyProtection="1">
      <alignment horizontal="center" vertical="center" wrapText="1"/>
    </xf>
    <xf numFmtId="173" fontId="6" fillId="0" borderId="22" xfId="0" applyNumberFormat="1" applyFont="1" applyBorder="1"/>
    <xf numFmtId="2" fontId="6" fillId="0" borderId="22" xfId="0" applyNumberFormat="1" applyFont="1" applyBorder="1"/>
    <xf numFmtId="173" fontId="6" fillId="2" borderId="22" xfId="0" applyNumberFormat="1" applyFont="1" applyFill="1" applyBorder="1"/>
    <xf numFmtId="174" fontId="6" fillId="2" borderId="22" xfId="0" applyNumberFormat="1" applyFont="1" applyFill="1" applyBorder="1"/>
    <xf numFmtId="0" fontId="6" fillId="0" borderId="27" xfId="0" applyFont="1" applyBorder="1"/>
    <xf numFmtId="0" fontId="6" fillId="0" borderId="15" xfId="0" applyFont="1" applyBorder="1"/>
    <xf numFmtId="173" fontId="6" fillId="0" borderId="28" xfId="0" applyNumberFormat="1" applyFont="1" applyBorder="1"/>
    <xf numFmtId="164" fontId="8" fillId="0" borderId="20" xfId="1" applyFont="1" applyBorder="1" applyAlignment="1" applyProtection="1">
      <alignment horizontal="center" vertical="center"/>
    </xf>
    <xf numFmtId="0" fontId="8" fillId="0" borderId="26" xfId="0" applyFont="1" applyBorder="1" applyAlignment="1">
      <alignment horizontal="center" vertical="center"/>
    </xf>
    <xf numFmtId="164" fontId="1" fillId="0" borderId="27" xfId="1" applyFont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64" fontId="2" fillId="3" borderId="5" xfId="1" applyFont="1" applyFill="1" applyBorder="1" applyAlignment="1" applyProtection="1">
      <alignment horizontal="center" vertical="center"/>
    </xf>
    <xf numFmtId="164" fontId="8" fillId="0" borderId="10" xfId="1" applyFont="1" applyBorder="1" applyAlignment="1" applyProtection="1">
      <alignment horizontal="left" vertical="center"/>
    </xf>
    <xf numFmtId="0" fontId="5" fillId="3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8" borderId="3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9" fontId="7" fillId="0" borderId="33" xfId="3" applyFont="1" applyBorder="1" applyAlignment="1" applyProtection="1">
      <alignment horizontal="center"/>
    </xf>
    <xf numFmtId="0" fontId="6" fillId="0" borderId="15" xfId="0" applyFont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</cellXfs>
  <cellStyles count="5">
    <cellStyle name="Hiperlink" xfId="4" builtinId="8"/>
    <cellStyle name="Moeda" xfId="2" builtinId="4"/>
    <cellStyle name="Normal" xfId="0" builtinId="0"/>
    <cellStyle name="Porcentagem" xfId="3" builtinId="5"/>
    <cellStyle name="Vírgula" xfId="1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FBFBF"/>
      <rgbColor rgb="FFFF99CC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133200</xdr:colOff>
      <xdr:row>4</xdr:row>
      <xdr:rowOff>28440</xdr:rowOff>
    </xdr:from>
    <xdr:to>
      <xdr:col>0</xdr:col>
      <xdr:colOff>1418400</xdr:colOff>
      <xdr:row>6</xdr:row>
      <xdr:rowOff>65880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3200" y="742680"/>
          <a:ext cx="1285200" cy="3614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85680</xdr:colOff>
      <xdr:row>7</xdr:row>
      <xdr:rowOff>9360</xdr:rowOff>
    </xdr:from>
    <xdr:to>
      <xdr:col>0</xdr:col>
      <xdr:colOff>2123280</xdr:colOff>
      <xdr:row>9</xdr:row>
      <xdr:rowOff>56160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680" y="1209600"/>
          <a:ext cx="2037600" cy="370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9"/>
  <sheetViews>
    <sheetView tabSelected="1" view="pageBreakPreview" zoomScaleNormal="100" workbookViewId="0">
      <selection activeCell="A11" sqref="A11:F299"/>
    </sheetView>
  </sheetViews>
  <sheetFormatPr defaultColWidth="9.140625" defaultRowHeight="12.75" x14ac:dyDescent="0.2"/>
  <cols>
    <col min="1" max="1" width="44.5703125" style="2" customWidth="1"/>
    <col min="2" max="2" width="16" style="2" customWidth="1"/>
    <col min="3" max="3" width="11.85546875" style="2" customWidth="1"/>
    <col min="4" max="4" width="14.7109375" style="3" customWidth="1"/>
    <col min="5" max="5" width="15.42578125" style="3" customWidth="1"/>
    <col min="6" max="6" width="13.28515625" style="3" customWidth="1"/>
    <col min="7" max="7" width="28.140625" style="3" customWidth="1"/>
    <col min="8" max="8" width="9.140625" style="2"/>
    <col min="9" max="9" width="14.5703125" style="2" customWidth="1"/>
    <col min="10" max="10" width="13.42578125" style="2" customWidth="1"/>
    <col min="11" max="16384" width="9.140625" style="2"/>
  </cols>
  <sheetData>
    <row r="1" spans="1:7" ht="15.75" x14ac:dyDescent="0.2">
      <c r="A1" s="4"/>
    </row>
    <row r="2" spans="1:7" ht="15.75" x14ac:dyDescent="0.2">
      <c r="A2" s="5"/>
    </row>
    <row r="3" spans="1:7" ht="15.75" x14ac:dyDescent="0.2">
      <c r="A3" s="5"/>
    </row>
    <row r="4" spans="1:7" ht="15.75" x14ac:dyDescent="0.2">
      <c r="A4" s="5"/>
    </row>
    <row r="5" spans="1:7" s="7" customFormat="1" ht="15" customHeight="1" x14ac:dyDescent="0.2">
      <c r="A5" s="6"/>
      <c r="C5" s="8"/>
      <c r="D5" s="8"/>
      <c r="E5" s="8"/>
      <c r="F5" s="8"/>
      <c r="G5" s="9"/>
    </row>
    <row r="6" spans="1:7" s="7" customFormat="1" ht="15" customHeight="1" x14ac:dyDescent="0.2">
      <c r="A6" s="10"/>
      <c r="B6" s="8"/>
      <c r="C6" s="8"/>
      <c r="D6" s="8"/>
      <c r="E6" s="8"/>
      <c r="F6" s="8"/>
      <c r="G6" s="9"/>
    </row>
    <row r="7" spans="1:7" s="7" customFormat="1" ht="15" customHeight="1" x14ac:dyDescent="0.2">
      <c r="A7" s="2"/>
      <c r="B7" s="8"/>
      <c r="C7" s="8"/>
      <c r="D7" s="8"/>
      <c r="E7" s="8"/>
      <c r="F7" s="8"/>
      <c r="G7" s="9"/>
    </row>
    <row r="8" spans="1:7" s="7" customFormat="1" ht="15" customHeight="1" x14ac:dyDescent="0.2">
      <c r="A8" s="5"/>
      <c r="B8" s="8"/>
      <c r="C8" s="8"/>
      <c r="D8" s="8"/>
      <c r="E8" s="8"/>
      <c r="F8" s="8"/>
      <c r="G8" s="9"/>
    </row>
    <row r="9" spans="1:7" s="7" customFormat="1" ht="15" customHeight="1" x14ac:dyDescent="0.2">
      <c r="A9" s="11" t="s">
        <v>0</v>
      </c>
      <c r="B9" s="8"/>
      <c r="C9" s="8"/>
      <c r="D9" s="8"/>
      <c r="E9" s="8"/>
      <c r="F9" s="8"/>
      <c r="G9" s="9"/>
    </row>
    <row r="10" spans="1:7" s="7" customFormat="1" ht="16.5" customHeight="1" x14ac:dyDescent="0.2">
      <c r="A10" s="2"/>
      <c r="B10" s="8"/>
      <c r="C10" s="8"/>
      <c r="D10" s="9"/>
      <c r="E10" s="9"/>
      <c r="F10" s="9"/>
      <c r="G10" s="9"/>
    </row>
    <row r="11" spans="1:7" s="13" customFormat="1" ht="18" x14ac:dyDescent="0.2">
      <c r="A11" s="268" t="s">
        <v>1</v>
      </c>
      <c r="B11" s="268"/>
      <c r="C11" s="268"/>
      <c r="D11" s="268"/>
      <c r="E11" s="268"/>
      <c r="F11" s="268"/>
      <c r="G11" s="12"/>
    </row>
    <row r="12" spans="1:7" s="13" customFormat="1" ht="21.75" customHeight="1" x14ac:dyDescent="0.2">
      <c r="A12" s="269" t="s">
        <v>2</v>
      </c>
      <c r="B12" s="269"/>
      <c r="C12" s="269"/>
      <c r="D12" s="269"/>
      <c r="E12" s="269"/>
      <c r="F12" s="269"/>
      <c r="G12" s="12"/>
    </row>
    <row r="13" spans="1:7" s="7" customFormat="1" ht="10.5" customHeight="1" x14ac:dyDescent="0.2">
      <c r="A13" s="14"/>
      <c r="B13" s="8"/>
      <c r="C13" s="8"/>
      <c r="D13" s="9"/>
      <c r="E13" s="9"/>
      <c r="F13" s="15"/>
      <c r="G13" s="9"/>
    </row>
    <row r="14" spans="1:7" s="7" customFormat="1" ht="15.75" customHeight="1" x14ac:dyDescent="0.2">
      <c r="A14" s="270" t="s">
        <v>3</v>
      </c>
      <c r="B14" s="270"/>
      <c r="C14" s="270"/>
      <c r="D14" s="270"/>
      <c r="E14" s="270"/>
      <c r="F14" s="270"/>
      <c r="G14" s="9"/>
    </row>
    <row r="15" spans="1:7" s="7" customFormat="1" ht="15.75" customHeight="1" x14ac:dyDescent="0.2">
      <c r="A15" s="16" t="s">
        <v>4</v>
      </c>
      <c r="B15" s="17"/>
      <c r="C15" s="17"/>
      <c r="D15" s="18"/>
      <c r="E15" s="19" t="s">
        <v>5</v>
      </c>
      <c r="F15" s="20" t="s">
        <v>6</v>
      </c>
      <c r="G15" s="9"/>
    </row>
    <row r="16" spans="1:7" s="27" customFormat="1" ht="15.75" customHeight="1" x14ac:dyDescent="0.2">
      <c r="A16" s="21" t="str">
        <f>A54</f>
        <v>1. Mão-de-obra</v>
      </c>
      <c r="B16" s="22"/>
      <c r="C16" s="23"/>
      <c r="D16" s="23"/>
      <c r="E16" s="24">
        <f>+F144</f>
        <v>520.09154102957314</v>
      </c>
      <c r="F16" s="25">
        <f t="shared" ref="F16:F34" si="0">IFERROR(E16/$E$37,0)</f>
        <v>0.26712691582600728</v>
      </c>
      <c r="G16" s="26"/>
    </row>
    <row r="17" spans="1:7" s="7" customFormat="1" ht="15.75" customHeight="1" x14ac:dyDescent="0.2">
      <c r="A17" s="28" t="str">
        <f>A56</f>
        <v>1.1. Coletor Turno Dia</v>
      </c>
      <c r="B17" s="29"/>
      <c r="C17" s="30"/>
      <c r="D17" s="30"/>
      <c r="E17" s="31">
        <f>F67</f>
        <v>183.00731383678553</v>
      </c>
      <c r="F17" s="32">
        <f t="shared" si="0"/>
        <v>9.3995336324923934E-2</v>
      </c>
      <c r="G17" s="9"/>
    </row>
    <row r="18" spans="1:7" s="7" customFormat="1" ht="15.75" customHeight="1" x14ac:dyDescent="0.2">
      <c r="A18" s="28" t="str">
        <f>A69</f>
        <v>1.2. Coletor Turno Noite</v>
      </c>
      <c r="B18" s="29"/>
      <c r="C18" s="30"/>
      <c r="D18" s="30"/>
      <c r="E18" s="31">
        <f>F86</f>
        <v>0</v>
      </c>
      <c r="F18" s="32">
        <f t="shared" si="0"/>
        <v>0</v>
      </c>
      <c r="G18" s="9"/>
    </row>
    <row r="19" spans="1:7" s="7" customFormat="1" ht="15.75" customHeight="1" x14ac:dyDescent="0.2">
      <c r="A19" s="28" t="str">
        <f>A88</f>
        <v>1.3. Motorista Turno do Dia</v>
      </c>
      <c r="B19" s="29"/>
      <c r="C19" s="30"/>
      <c r="D19" s="30"/>
      <c r="E19" s="31">
        <f>F101</f>
        <v>205.1161964235568</v>
      </c>
      <c r="F19" s="32">
        <f t="shared" si="0"/>
        <v>0.1053507942623329</v>
      </c>
      <c r="G19" s="9"/>
    </row>
    <row r="20" spans="1:7" s="7" customFormat="1" ht="15.75" customHeight="1" x14ac:dyDescent="0.2">
      <c r="A20" s="28" t="str">
        <f>A103</f>
        <v>1.4. Motorista Turno Noite</v>
      </c>
      <c r="B20" s="29"/>
      <c r="C20" s="30"/>
      <c r="D20" s="30"/>
      <c r="E20" s="31">
        <f>F122</f>
        <v>0</v>
      </c>
      <c r="F20" s="32">
        <f t="shared" si="0"/>
        <v>0</v>
      </c>
      <c r="G20" s="9"/>
    </row>
    <row r="21" spans="1:7" s="7" customFormat="1" ht="15.75" customHeight="1" x14ac:dyDescent="0.2">
      <c r="A21" s="28" t="str">
        <f>A124</f>
        <v>1.5. Vale Transporte</v>
      </c>
      <c r="B21" s="29"/>
      <c r="C21" s="30"/>
      <c r="D21" s="30"/>
      <c r="E21" s="31">
        <f>F130</f>
        <v>9.4880307692307753</v>
      </c>
      <c r="F21" s="32">
        <f t="shared" si="0"/>
        <v>4.8731967292326341E-3</v>
      </c>
      <c r="G21" s="9"/>
    </row>
    <row r="22" spans="1:7" s="7" customFormat="1" ht="15.75" customHeight="1" x14ac:dyDescent="0.2">
      <c r="A22" s="28" t="str">
        <f>A132</f>
        <v>1.6. Vale-refeição (diário)</v>
      </c>
      <c r="B22" s="29"/>
      <c r="C22" s="30"/>
      <c r="D22" s="30"/>
      <c r="E22" s="31">
        <f>F136</f>
        <v>122.48</v>
      </c>
      <c r="F22" s="32">
        <f t="shared" si="0"/>
        <v>6.2907588509517776E-2</v>
      </c>
      <c r="G22" s="9"/>
    </row>
    <row r="23" spans="1:7" s="7" customFormat="1" ht="15.75" customHeight="1" x14ac:dyDescent="0.2">
      <c r="A23" s="28" t="str">
        <f>A138</f>
        <v>1.7. Auxílio Alimentação (mensal)</v>
      </c>
      <c r="B23" s="29"/>
      <c r="C23" s="30"/>
      <c r="D23" s="30"/>
      <c r="E23" s="31">
        <f>F142</f>
        <v>0</v>
      </c>
      <c r="F23" s="32">
        <f t="shared" si="0"/>
        <v>0</v>
      </c>
      <c r="G23" s="9"/>
    </row>
    <row r="24" spans="1:7" s="27" customFormat="1" ht="15.75" customHeight="1" x14ac:dyDescent="0.2">
      <c r="A24" s="271" t="str">
        <f>A146</f>
        <v>2. Uniformes e Equipamentos de Proteção Individual</v>
      </c>
      <c r="B24" s="271"/>
      <c r="C24" s="271"/>
      <c r="D24" s="23"/>
      <c r="E24" s="24">
        <f>+F180</f>
        <v>32.546389833333336</v>
      </c>
      <c r="F24" s="25">
        <f t="shared" si="0"/>
        <v>1.6716320208243683E-2</v>
      </c>
      <c r="G24" s="26"/>
    </row>
    <row r="25" spans="1:7" s="27" customFormat="1" ht="15.75" customHeight="1" x14ac:dyDescent="0.2">
      <c r="A25" s="1" t="str">
        <f>A182</f>
        <v>3. Veículos e Equipamentos</v>
      </c>
      <c r="B25" s="33"/>
      <c r="C25" s="23"/>
      <c r="D25" s="23"/>
      <c r="E25" s="24">
        <f>+F259</f>
        <v>995.34788220999997</v>
      </c>
      <c r="F25" s="25">
        <f t="shared" si="0"/>
        <v>0.51122579194878059</v>
      </c>
      <c r="G25" s="26"/>
    </row>
    <row r="26" spans="1:7" s="7" customFormat="1" ht="15.75" customHeight="1" x14ac:dyDescent="0.2">
      <c r="A26" s="34" t="str">
        <f>A184</f>
        <v>3.1. Veículo Coletor Compactador 12 m³</v>
      </c>
      <c r="B26" s="35"/>
      <c r="C26" s="30"/>
      <c r="D26" s="30"/>
      <c r="E26" s="31">
        <f>SUM(E27:E32)</f>
        <v>995.34788220999997</v>
      </c>
      <c r="F26" s="36">
        <f t="shared" si="0"/>
        <v>0.51122579194878059</v>
      </c>
      <c r="G26" s="9"/>
    </row>
    <row r="27" spans="1:7" s="7" customFormat="1" ht="15.75" customHeight="1" x14ac:dyDescent="0.2">
      <c r="A27" s="34" t="str">
        <f>A186</f>
        <v>3.1.1. Depreciação</v>
      </c>
      <c r="B27" s="35"/>
      <c r="C27" s="30"/>
      <c r="D27" s="30"/>
      <c r="E27" s="31">
        <f>F200</f>
        <v>83.914817600000006</v>
      </c>
      <c r="F27" s="36">
        <f t="shared" si="0"/>
        <v>4.309992501169204E-2</v>
      </c>
      <c r="G27" s="9"/>
    </row>
    <row r="28" spans="1:7" s="7" customFormat="1" ht="15.75" customHeight="1" x14ac:dyDescent="0.2">
      <c r="A28" s="34" t="str">
        <f>A202</f>
        <v>3.1.2. Remuneração do Capital</v>
      </c>
      <c r="B28" s="35"/>
      <c r="C28" s="30"/>
      <c r="D28" s="30"/>
      <c r="E28" s="31">
        <f>F216</f>
        <v>155.30269619333333</v>
      </c>
      <c r="F28" s="36">
        <f t="shared" si="0"/>
        <v>7.9765823861437518E-2</v>
      </c>
      <c r="G28" s="9"/>
    </row>
    <row r="29" spans="1:7" s="7" customFormat="1" ht="15.75" customHeight="1" x14ac:dyDescent="0.2">
      <c r="A29" s="34" t="str">
        <f>A218</f>
        <v>3.1.3. Impostos e Seguros</v>
      </c>
      <c r="B29" s="35"/>
      <c r="C29" s="30"/>
      <c r="D29" s="30"/>
      <c r="E29" s="31">
        <f>F224</f>
        <v>12.519579666666667</v>
      </c>
      <c r="F29" s="36">
        <f t="shared" si="0"/>
        <v>6.4302462931318779E-3</v>
      </c>
      <c r="G29" s="9"/>
    </row>
    <row r="30" spans="1:7" s="7" customFormat="1" ht="15.75" customHeight="1" x14ac:dyDescent="0.2">
      <c r="A30" s="34" t="str">
        <f>A226</f>
        <v>3.1.4. Consumos</v>
      </c>
      <c r="B30" s="35"/>
      <c r="C30" s="30"/>
      <c r="D30" s="30"/>
      <c r="E30" s="31">
        <f>F242</f>
        <v>432.81705875</v>
      </c>
      <c r="F30" s="36">
        <f t="shared" si="0"/>
        <v>0.22230141600052891</v>
      </c>
      <c r="G30" s="9"/>
    </row>
    <row r="31" spans="1:7" s="7" customFormat="1" ht="15.75" customHeight="1" x14ac:dyDescent="0.2">
      <c r="A31" s="34" t="str">
        <f>A244</f>
        <v>3.1.5. Manutenção</v>
      </c>
      <c r="B31" s="35"/>
      <c r="C31" s="30"/>
      <c r="D31" s="30"/>
      <c r="E31" s="31">
        <f>F247</f>
        <v>180.893</v>
      </c>
      <c r="F31" s="36">
        <f t="shared" si="0"/>
        <v>9.2909392621262243E-2</v>
      </c>
      <c r="G31" s="9"/>
    </row>
    <row r="32" spans="1:7" s="7" customFormat="1" ht="15.75" customHeight="1" x14ac:dyDescent="0.2">
      <c r="A32" s="34" t="str">
        <f>A249</f>
        <v>3.1.6. Pneus</v>
      </c>
      <c r="B32" s="35"/>
      <c r="C32" s="30"/>
      <c r="D32" s="30"/>
      <c r="E32" s="31">
        <f>F256</f>
        <v>129.90072999999998</v>
      </c>
      <c r="F32" s="36">
        <f t="shared" si="0"/>
        <v>6.6718988160728035E-2</v>
      </c>
      <c r="G32" s="9"/>
    </row>
    <row r="33" spans="1:7" s="27" customFormat="1" ht="15.75" customHeight="1" x14ac:dyDescent="0.2">
      <c r="A33" s="1" t="str">
        <f>A261</f>
        <v>4. Ferramentas e Materiais de Consumo</v>
      </c>
      <c r="B33" s="33"/>
      <c r="C33" s="23"/>
      <c r="D33" s="23"/>
      <c r="E33" s="24">
        <f>+F271</f>
        <v>366.33833333333325</v>
      </c>
      <c r="F33" s="25">
        <f t="shared" si="0"/>
        <v>0.18815693279389198</v>
      </c>
      <c r="G33" s="26"/>
    </row>
    <row r="34" spans="1:7" s="27" customFormat="1" ht="15.75" customHeight="1" x14ac:dyDescent="0.2">
      <c r="A34" s="1" t="str">
        <f>A273</f>
        <v>5. Monitoramento da Frota</v>
      </c>
      <c r="B34" s="33"/>
      <c r="C34" s="23"/>
      <c r="D34" s="23"/>
      <c r="E34" s="24">
        <f>+F280</f>
        <v>28.041764000000001</v>
      </c>
      <c r="F34" s="25">
        <f t="shared" si="0"/>
        <v>1.4402675953568006E-2</v>
      </c>
      <c r="G34" s="26"/>
    </row>
    <row r="35" spans="1:7" s="27" customFormat="1" ht="15.75" customHeight="1" x14ac:dyDescent="0.2">
      <c r="A35" s="1"/>
      <c r="B35" s="33"/>
      <c r="C35" s="23"/>
      <c r="D35" s="23"/>
      <c r="E35" s="37"/>
      <c r="F35" s="25"/>
      <c r="G35" s="26"/>
    </row>
    <row r="36" spans="1:7" s="27" customFormat="1" ht="15.75" customHeight="1" x14ac:dyDescent="0.2">
      <c r="A36" s="1" t="str">
        <f>A285</f>
        <v>6. Benefícios e Despesas Indiretas - BDI</v>
      </c>
      <c r="B36" s="33"/>
      <c r="C36" s="23"/>
      <c r="D36" s="23"/>
      <c r="E36" s="38">
        <f>+F291</f>
        <v>4.617003769035632</v>
      </c>
      <c r="F36" s="25">
        <f>IFERROR(E36/$E$37,0)</f>
        <v>2.3713632695083788E-3</v>
      </c>
      <c r="G36" s="26"/>
    </row>
    <row r="37" spans="1:7" s="7" customFormat="1" ht="15.75" customHeight="1" x14ac:dyDescent="0.2">
      <c r="A37" s="39" t="s">
        <v>7</v>
      </c>
      <c r="B37" s="40"/>
      <c r="C37" s="41"/>
      <c r="D37" s="41"/>
      <c r="E37" s="42">
        <f>E16+E24+E25+E33+E34+E36+E35</f>
        <v>1946.9829141752755</v>
      </c>
      <c r="F37" s="43">
        <f>F16+F24+F25+F33+F34+F36+F35</f>
        <v>1</v>
      </c>
      <c r="G37" s="9"/>
    </row>
    <row r="40" spans="1:7" s="7" customFormat="1" ht="15" customHeight="1" x14ac:dyDescent="0.2">
      <c r="A40" s="270" t="s">
        <v>8</v>
      </c>
      <c r="B40" s="270"/>
      <c r="C40" s="270"/>
      <c r="D40" s="270"/>
      <c r="E40" s="270"/>
      <c r="F40" s="3"/>
      <c r="G40" s="9"/>
    </row>
    <row r="41" spans="1:7" s="7" customFormat="1" ht="15" customHeight="1" x14ac:dyDescent="0.2">
      <c r="A41" s="265" t="s">
        <v>9</v>
      </c>
      <c r="B41" s="265"/>
      <c r="C41" s="265"/>
      <c r="D41" s="265"/>
      <c r="E41" s="44" t="s">
        <v>10</v>
      </c>
      <c r="F41" s="3"/>
      <c r="G41" s="9"/>
    </row>
    <row r="42" spans="1:7" s="7" customFormat="1" ht="15" customHeight="1" x14ac:dyDescent="0.2">
      <c r="A42" s="45" t="str">
        <f>+A56</f>
        <v>1.1. Coletor Turno Dia</v>
      </c>
      <c r="B42" s="46"/>
      <c r="C42" s="46"/>
      <c r="D42" s="47"/>
      <c r="E42" s="48">
        <f>C66</f>
        <v>1</v>
      </c>
      <c r="F42" s="3"/>
      <c r="G42" s="9"/>
    </row>
    <row r="43" spans="1:7" s="7" customFormat="1" ht="15" customHeight="1" x14ac:dyDescent="0.2">
      <c r="A43" s="49" t="str">
        <f>+A69</f>
        <v>1.2. Coletor Turno Noite</v>
      </c>
      <c r="B43" s="50"/>
      <c r="C43" s="50"/>
      <c r="D43" s="51"/>
      <c r="E43" s="52">
        <f>C85</f>
        <v>0</v>
      </c>
      <c r="F43" s="3"/>
      <c r="G43" s="9"/>
    </row>
    <row r="44" spans="1:7" s="7" customFormat="1" ht="15" customHeight="1" x14ac:dyDescent="0.2">
      <c r="A44" s="49" t="str">
        <f>+A88</f>
        <v>1.3. Motorista Turno do Dia</v>
      </c>
      <c r="B44" s="50"/>
      <c r="C44" s="50"/>
      <c r="D44" s="51"/>
      <c r="E44" s="52">
        <f>C100</f>
        <v>1</v>
      </c>
      <c r="F44" s="3"/>
      <c r="G44" s="9"/>
    </row>
    <row r="45" spans="1:7" s="7" customFormat="1" ht="15" customHeight="1" x14ac:dyDescent="0.2">
      <c r="A45" s="49" t="str">
        <f>+A103</f>
        <v>1.4. Motorista Turno Noite</v>
      </c>
      <c r="B45" s="50"/>
      <c r="C45" s="50"/>
      <c r="D45" s="51"/>
      <c r="E45" s="52">
        <f>C121</f>
        <v>0</v>
      </c>
      <c r="F45" s="3"/>
      <c r="G45" s="9"/>
    </row>
    <row r="46" spans="1:7" s="7" customFormat="1" ht="15" customHeight="1" x14ac:dyDescent="0.2">
      <c r="A46" s="53" t="s">
        <v>11</v>
      </c>
      <c r="B46" s="54"/>
      <c r="C46" s="54"/>
      <c r="D46" s="55"/>
      <c r="E46" s="56">
        <f>SUM(E42:E45)</f>
        <v>2</v>
      </c>
      <c r="F46" s="3"/>
      <c r="G46" s="9"/>
    </row>
    <row r="47" spans="1:7" s="7" customFormat="1" ht="15" customHeight="1" x14ac:dyDescent="0.2">
      <c r="A47" s="57"/>
      <c r="B47" s="58"/>
      <c r="C47" s="3"/>
      <c r="D47" s="3"/>
      <c r="E47" s="59"/>
      <c r="F47" s="3"/>
      <c r="G47" s="9"/>
    </row>
    <row r="48" spans="1:7" s="7" customFormat="1" ht="15" customHeight="1" x14ac:dyDescent="0.2">
      <c r="A48" s="266" t="s">
        <v>12</v>
      </c>
      <c r="B48" s="266"/>
      <c r="C48" s="266"/>
      <c r="D48" s="266"/>
      <c r="E48" s="44" t="s">
        <v>10</v>
      </c>
      <c r="F48" s="2"/>
      <c r="G48" s="9"/>
    </row>
    <row r="49" spans="1:7" s="7" customFormat="1" ht="27" customHeight="1" x14ac:dyDescent="0.2">
      <c r="A49" s="267" t="str">
        <f>+A184</f>
        <v>3.1. Veículo Coletor Compactador 12 m³</v>
      </c>
      <c r="B49" s="267"/>
      <c r="C49" s="267"/>
      <c r="D49" s="267"/>
      <c r="E49" s="60">
        <f>C199</f>
        <v>1</v>
      </c>
      <c r="F49" s="2"/>
      <c r="G49" s="9"/>
    </row>
    <row r="50" spans="1:7" s="7" customFormat="1" ht="15" customHeight="1" x14ac:dyDescent="0.2">
      <c r="A50" s="3"/>
      <c r="B50" s="3"/>
      <c r="C50" s="3"/>
      <c r="D50" s="2"/>
      <c r="E50" s="61"/>
      <c r="F50" s="2"/>
      <c r="G50" s="9"/>
    </row>
    <row r="51" spans="1:7" s="7" customFormat="1" x14ac:dyDescent="0.2">
      <c r="A51" s="3"/>
      <c r="B51" s="3"/>
      <c r="C51" s="3"/>
      <c r="D51" s="2"/>
      <c r="E51" s="62"/>
      <c r="F51" s="2"/>
      <c r="G51" s="9"/>
    </row>
    <row r="52" spans="1:7" s="27" customFormat="1" ht="15.75" customHeight="1" x14ac:dyDescent="0.2">
      <c r="A52" s="63" t="s">
        <v>13</v>
      </c>
      <c r="B52" s="64">
        <v>4.5400000000000003E-2</v>
      </c>
      <c r="C52" s="26"/>
      <c r="E52" s="65"/>
      <c r="G52" s="26"/>
    </row>
    <row r="53" spans="1:7" s="7" customFormat="1" ht="15.75" customHeight="1" x14ac:dyDescent="0.2">
      <c r="A53" s="3"/>
      <c r="B53" s="3"/>
      <c r="C53" s="3"/>
      <c r="D53" s="2"/>
      <c r="E53" s="62"/>
      <c r="F53" s="2"/>
      <c r="G53" s="9"/>
    </row>
    <row r="54" spans="1:7" ht="12.75" customHeight="1" x14ac:dyDescent="0.2">
      <c r="A54" s="27" t="s">
        <v>14</v>
      </c>
    </row>
    <row r="55" spans="1:7" ht="11.25" customHeight="1" x14ac:dyDescent="0.2"/>
    <row r="56" spans="1:7" ht="13.5" customHeight="1" x14ac:dyDescent="0.2">
      <c r="A56" s="2" t="s">
        <v>15</v>
      </c>
    </row>
    <row r="57" spans="1:7" ht="13.5" customHeight="1" x14ac:dyDescent="0.2">
      <c r="A57" s="66" t="s">
        <v>16</v>
      </c>
      <c r="B57" s="67" t="s">
        <v>17</v>
      </c>
      <c r="C57" s="67" t="s">
        <v>10</v>
      </c>
      <c r="D57" s="68" t="s">
        <v>18</v>
      </c>
      <c r="E57" s="68" t="s">
        <v>19</v>
      </c>
      <c r="F57" s="69" t="s">
        <v>20</v>
      </c>
    </row>
    <row r="58" spans="1:7" ht="12.75" customHeight="1" x14ac:dyDescent="0.2">
      <c r="A58" s="70" t="s">
        <v>21</v>
      </c>
      <c r="B58" s="71" t="s">
        <v>22</v>
      </c>
      <c r="C58" s="71">
        <v>1</v>
      </c>
      <c r="D58" s="72">
        <v>1687.78</v>
      </c>
      <c r="E58" s="73">
        <f>C58*D58</f>
        <v>1687.78</v>
      </c>
    </row>
    <row r="59" spans="1:7" x14ac:dyDescent="0.2">
      <c r="A59" s="74" t="s">
        <v>23</v>
      </c>
      <c r="B59" s="75" t="s">
        <v>24</v>
      </c>
      <c r="C59" s="76"/>
      <c r="D59" s="77">
        <f>D58/220*2</f>
        <v>15.343454545454545</v>
      </c>
      <c r="E59" s="77">
        <f>C59*D59</f>
        <v>0</v>
      </c>
    </row>
    <row r="60" spans="1:7" ht="12.75" customHeight="1" x14ac:dyDescent="0.2">
      <c r="A60" s="74" t="s">
        <v>25</v>
      </c>
      <c r="B60" s="75" t="s">
        <v>24</v>
      </c>
      <c r="C60" s="76"/>
      <c r="D60" s="77">
        <f>D58/220*1.5</f>
        <v>11.507590909090908</v>
      </c>
      <c r="E60" s="77">
        <f>C60*D60</f>
        <v>0</v>
      </c>
    </row>
    <row r="61" spans="1:7" ht="12.75" customHeight="1" x14ac:dyDescent="0.2">
      <c r="A61" s="74" t="s">
        <v>26</v>
      </c>
      <c r="B61" s="75" t="s">
        <v>27</v>
      </c>
      <c r="D61" s="77">
        <f>63/302*(SUM(E59:E60))</f>
        <v>0</v>
      </c>
      <c r="E61" s="77">
        <f>D61</f>
        <v>0</v>
      </c>
    </row>
    <row r="62" spans="1:7" x14ac:dyDescent="0.2">
      <c r="A62" s="74" t="s">
        <v>28</v>
      </c>
      <c r="B62" s="75" t="s">
        <v>6</v>
      </c>
      <c r="C62" s="75">
        <v>40</v>
      </c>
      <c r="D62" s="77">
        <f>SUM(E58:E61)</f>
        <v>1687.78</v>
      </c>
      <c r="E62" s="77">
        <f>C62*D62/100</f>
        <v>675.11199999999997</v>
      </c>
    </row>
    <row r="63" spans="1:7" x14ac:dyDescent="0.2">
      <c r="A63" s="78" t="s">
        <v>29</v>
      </c>
      <c r="B63" s="79"/>
      <c r="C63" s="79"/>
      <c r="D63" s="80"/>
      <c r="E63" s="81">
        <f>SUM(E58:E62)</f>
        <v>2362.8919999999998</v>
      </c>
    </row>
    <row r="64" spans="1:7" x14ac:dyDescent="0.2">
      <c r="A64" s="74" t="s">
        <v>30</v>
      </c>
      <c r="B64" s="75" t="s">
        <v>6</v>
      </c>
      <c r="C64" s="82">
        <f>'2.Encargos Sociais'!$C$37*100</f>
        <v>70.595951999999997</v>
      </c>
      <c r="D64" s="77">
        <f>E63</f>
        <v>2362.8919999999998</v>
      </c>
      <c r="E64" s="77">
        <f>D64*C64/100</f>
        <v>1668.1061021318396</v>
      </c>
    </row>
    <row r="65" spans="1:7" x14ac:dyDescent="0.2">
      <c r="A65" s="78" t="s">
        <v>31</v>
      </c>
      <c r="B65" s="79"/>
      <c r="C65" s="79"/>
      <c r="D65" s="80"/>
      <c r="E65" s="81">
        <f>E63+E64</f>
        <v>4030.9981021318395</v>
      </c>
    </row>
    <row r="66" spans="1:7" x14ac:dyDescent="0.2">
      <c r="A66" s="74" t="s">
        <v>32</v>
      </c>
      <c r="B66" s="75" t="s">
        <v>33</v>
      </c>
      <c r="C66" s="83">
        <v>1</v>
      </c>
      <c r="D66" s="77">
        <f>E65</f>
        <v>4030.9981021318395</v>
      </c>
      <c r="E66" s="77">
        <f>C66*D66</f>
        <v>4030.9981021318395</v>
      </c>
      <c r="G66" s="9"/>
    </row>
    <row r="67" spans="1:7" ht="13.5" customHeight="1" x14ac:dyDescent="0.2">
      <c r="D67" s="84" t="s">
        <v>34</v>
      </c>
      <c r="E67" s="85">
        <f>$B$52</f>
        <v>4.5400000000000003E-2</v>
      </c>
      <c r="F67" s="86">
        <f>E66*E67</f>
        <v>183.00731383678553</v>
      </c>
      <c r="G67" s="9"/>
    </row>
    <row r="68" spans="1:7" ht="11.25" customHeight="1" x14ac:dyDescent="0.2"/>
    <row r="69" spans="1:7" x14ac:dyDescent="0.2">
      <c r="A69" s="2" t="s">
        <v>35</v>
      </c>
    </row>
    <row r="70" spans="1:7" x14ac:dyDescent="0.2">
      <c r="A70" s="66" t="s">
        <v>16</v>
      </c>
      <c r="B70" s="67" t="s">
        <v>17</v>
      </c>
      <c r="C70" s="67" t="s">
        <v>10</v>
      </c>
      <c r="D70" s="68" t="s">
        <v>18</v>
      </c>
      <c r="E70" s="68" t="s">
        <v>19</v>
      </c>
      <c r="F70" s="69" t="s">
        <v>20</v>
      </c>
    </row>
    <row r="71" spans="1:7" x14ac:dyDescent="0.2">
      <c r="A71" s="70" t="s">
        <v>21</v>
      </c>
      <c r="B71" s="71" t="s">
        <v>22</v>
      </c>
      <c r="C71" s="71">
        <v>1</v>
      </c>
      <c r="D71" s="73">
        <f>D58</f>
        <v>1687.78</v>
      </c>
      <c r="E71" s="73">
        <f>C71*D71</f>
        <v>1687.78</v>
      </c>
    </row>
    <row r="72" spans="1:7" x14ac:dyDescent="0.2">
      <c r="A72" s="74" t="s">
        <v>36</v>
      </c>
      <c r="B72" s="75" t="s">
        <v>37</v>
      </c>
      <c r="C72" s="76"/>
      <c r="D72" s="77"/>
      <c r="E72" s="77"/>
    </row>
    <row r="73" spans="1:7" x14ac:dyDescent="0.2">
      <c r="A73" s="74"/>
      <c r="B73" s="75" t="s">
        <v>38</v>
      </c>
      <c r="C73" s="87">
        <f>C72*8/7</f>
        <v>0</v>
      </c>
      <c r="D73" s="77">
        <f>D71/220*0.2</f>
        <v>1.5343454545454547</v>
      </c>
      <c r="E73" s="77">
        <f>C72*D73</f>
        <v>0</v>
      </c>
    </row>
    <row r="74" spans="1:7" x14ac:dyDescent="0.2">
      <c r="A74" s="74" t="s">
        <v>23</v>
      </c>
      <c r="B74" s="75" t="s">
        <v>24</v>
      </c>
      <c r="C74" s="76"/>
      <c r="D74" s="77">
        <f>D71/220*2</f>
        <v>15.343454545454545</v>
      </c>
      <c r="E74" s="77">
        <f>C74*D74</f>
        <v>0</v>
      </c>
    </row>
    <row r="75" spans="1:7" x14ac:dyDescent="0.2">
      <c r="A75" s="74" t="s">
        <v>39</v>
      </c>
      <c r="B75" s="75" t="s">
        <v>37</v>
      </c>
      <c r="C75" s="76"/>
      <c r="D75" s="77"/>
      <c r="E75" s="77"/>
    </row>
    <row r="76" spans="1:7" x14ac:dyDescent="0.2">
      <c r="A76" s="74"/>
      <c r="B76" s="75" t="s">
        <v>38</v>
      </c>
      <c r="C76" s="87">
        <f>C75*8/7</f>
        <v>0</v>
      </c>
      <c r="D76" s="77">
        <f>D71/220*2*1.2</f>
        <v>18.412145454545453</v>
      </c>
      <c r="E76" s="77">
        <f>C76*D76</f>
        <v>0</v>
      </c>
    </row>
    <row r="77" spans="1:7" x14ac:dyDescent="0.2">
      <c r="A77" s="74" t="s">
        <v>25</v>
      </c>
      <c r="B77" s="75" t="s">
        <v>24</v>
      </c>
      <c r="C77" s="76"/>
      <c r="D77" s="77">
        <f>D71/220*1.5</f>
        <v>11.507590909090908</v>
      </c>
      <c r="E77" s="77">
        <f>C77*D77</f>
        <v>0</v>
      </c>
    </row>
    <row r="78" spans="1:7" x14ac:dyDescent="0.2">
      <c r="A78" s="74" t="s">
        <v>40</v>
      </c>
      <c r="B78" s="75" t="s">
        <v>37</v>
      </c>
      <c r="C78" s="76"/>
      <c r="D78" s="77"/>
      <c r="E78" s="77"/>
    </row>
    <row r="79" spans="1:7" x14ac:dyDescent="0.2">
      <c r="A79" s="74"/>
      <c r="B79" s="75" t="s">
        <v>38</v>
      </c>
      <c r="C79" s="77">
        <f>C78*8/7</f>
        <v>0</v>
      </c>
      <c r="D79" s="77">
        <f>D71/220*1.5*1.2</f>
        <v>13.809109090909089</v>
      </c>
      <c r="E79" s="77">
        <f>C79*D79</f>
        <v>0</v>
      </c>
    </row>
    <row r="80" spans="1:7" ht="12.75" customHeight="1" x14ac:dyDescent="0.2">
      <c r="A80" s="74" t="s">
        <v>26</v>
      </c>
      <c r="B80" s="75" t="s">
        <v>27</v>
      </c>
      <c r="D80" s="77">
        <f>63/302*(SUM(E74:E79))</f>
        <v>0</v>
      </c>
      <c r="E80" s="77">
        <f>D80</f>
        <v>0</v>
      </c>
    </row>
    <row r="81" spans="1:7" x14ac:dyDescent="0.2">
      <c r="A81" s="74" t="s">
        <v>28</v>
      </c>
      <c r="B81" s="75" t="s">
        <v>6</v>
      </c>
      <c r="C81" s="75">
        <f>+C62</f>
        <v>40</v>
      </c>
      <c r="D81" s="77">
        <f>SUM(E71:E80)</f>
        <v>1687.78</v>
      </c>
      <c r="E81" s="77">
        <f>C81*D81/100</f>
        <v>675.11199999999997</v>
      </c>
    </row>
    <row r="82" spans="1:7" x14ac:dyDescent="0.2">
      <c r="A82" s="78" t="s">
        <v>29</v>
      </c>
      <c r="B82" s="79"/>
      <c r="C82" s="79"/>
      <c r="D82" s="80"/>
      <c r="E82" s="81">
        <f>SUM(E71:E81)</f>
        <v>2362.8919999999998</v>
      </c>
    </row>
    <row r="83" spans="1:7" x14ac:dyDescent="0.2">
      <c r="A83" s="74" t="s">
        <v>30</v>
      </c>
      <c r="B83" s="75" t="s">
        <v>6</v>
      </c>
      <c r="C83" s="82">
        <f>'2.Encargos Sociais'!$C$37*100</f>
        <v>70.595951999999997</v>
      </c>
      <c r="D83" s="77">
        <f>E82</f>
        <v>2362.8919999999998</v>
      </c>
      <c r="E83" s="77">
        <f>D83*C83/100</f>
        <v>1668.1061021318396</v>
      </c>
    </row>
    <row r="84" spans="1:7" x14ac:dyDescent="0.2">
      <c r="A84" s="78" t="s">
        <v>31</v>
      </c>
      <c r="B84" s="79"/>
      <c r="C84" s="79"/>
      <c r="D84" s="80"/>
      <c r="E84" s="81">
        <f>E82+E83</f>
        <v>4030.9981021318395</v>
      </c>
    </row>
    <row r="85" spans="1:7" x14ac:dyDescent="0.2">
      <c r="A85" s="74" t="s">
        <v>32</v>
      </c>
      <c r="B85" s="75" t="s">
        <v>33</v>
      </c>
      <c r="C85" s="83"/>
      <c r="D85" s="77">
        <f>E84</f>
        <v>4030.9981021318395</v>
      </c>
      <c r="E85" s="77">
        <f>C85*D85</f>
        <v>0</v>
      </c>
    </row>
    <row r="86" spans="1:7" x14ac:dyDescent="0.2">
      <c r="D86" s="84" t="s">
        <v>34</v>
      </c>
      <c r="E86" s="85">
        <f>$B$52</f>
        <v>4.5400000000000003E-2</v>
      </c>
      <c r="F86" s="86">
        <f>E85*E86</f>
        <v>0</v>
      </c>
    </row>
    <row r="87" spans="1:7" ht="11.25" customHeight="1" x14ac:dyDescent="0.2"/>
    <row r="88" spans="1:7" x14ac:dyDescent="0.2">
      <c r="A88" s="2" t="s">
        <v>41</v>
      </c>
    </row>
    <row r="89" spans="1:7" s="88" customFormat="1" ht="12.75" customHeight="1" x14ac:dyDescent="0.2">
      <c r="A89" s="66" t="s">
        <v>16</v>
      </c>
      <c r="B89" s="67" t="s">
        <v>17</v>
      </c>
      <c r="C89" s="67" t="s">
        <v>10</v>
      </c>
      <c r="D89" s="68" t="s">
        <v>18</v>
      </c>
      <c r="E89" s="68" t="s">
        <v>19</v>
      </c>
      <c r="F89" s="69" t="s">
        <v>20</v>
      </c>
      <c r="G89" s="3"/>
    </row>
    <row r="90" spans="1:7" x14ac:dyDescent="0.2">
      <c r="A90" s="70" t="s">
        <v>42</v>
      </c>
      <c r="B90" s="71" t="s">
        <v>22</v>
      </c>
      <c r="C90" s="71">
        <v>1</v>
      </c>
      <c r="D90" s="72">
        <v>2120.35</v>
      </c>
      <c r="E90" s="73">
        <f>C90*D90</f>
        <v>2120.35</v>
      </c>
    </row>
    <row r="91" spans="1:7" x14ac:dyDescent="0.2">
      <c r="A91" s="70" t="s">
        <v>43</v>
      </c>
      <c r="B91" s="71" t="s">
        <v>22</v>
      </c>
      <c r="C91" s="71">
        <v>1</v>
      </c>
      <c r="D91" s="72">
        <v>1320</v>
      </c>
      <c r="E91" s="73"/>
    </row>
    <row r="92" spans="1:7" x14ac:dyDescent="0.2">
      <c r="A92" s="74" t="s">
        <v>23</v>
      </c>
      <c r="B92" s="75" t="s">
        <v>24</v>
      </c>
      <c r="C92" s="76"/>
      <c r="D92" s="77">
        <f>D90/220*2</f>
        <v>19.275909090909089</v>
      </c>
      <c r="E92" s="77">
        <f>C92*D92</f>
        <v>0</v>
      </c>
    </row>
    <row r="93" spans="1:7" x14ac:dyDescent="0.2">
      <c r="A93" s="74" t="s">
        <v>25</v>
      </c>
      <c r="B93" s="75" t="s">
        <v>24</v>
      </c>
      <c r="C93" s="76"/>
      <c r="D93" s="77">
        <f>D90/220*1.5</f>
        <v>14.456931818181816</v>
      </c>
      <c r="E93" s="77">
        <f>C93*D93</f>
        <v>0</v>
      </c>
    </row>
    <row r="94" spans="1:7" ht="12.75" customHeight="1" x14ac:dyDescent="0.2">
      <c r="A94" s="74" t="s">
        <v>26</v>
      </c>
      <c r="B94" s="75" t="s">
        <v>27</v>
      </c>
      <c r="D94" s="77">
        <f>63/302*(SUM(E92:E93))</f>
        <v>0</v>
      </c>
      <c r="E94" s="77">
        <f>D94</f>
        <v>0</v>
      </c>
    </row>
    <row r="95" spans="1:7" x14ac:dyDescent="0.2">
      <c r="A95" s="74" t="s">
        <v>44</v>
      </c>
      <c r="B95" s="75"/>
      <c r="C95" s="89">
        <v>1</v>
      </c>
      <c r="D95" s="77"/>
      <c r="E95" s="77"/>
    </row>
    <row r="96" spans="1:7" x14ac:dyDescent="0.2">
      <c r="A96" s="74" t="s">
        <v>28</v>
      </c>
      <c r="B96" s="75" t="s">
        <v>6</v>
      </c>
      <c r="C96" s="83">
        <v>40</v>
      </c>
      <c r="D96" s="77">
        <f>IF(C95=2,SUM(E90:E94),IF(C95=1,(SUM(E90:E94))*D91/D90,0))</f>
        <v>1320</v>
      </c>
      <c r="E96" s="77">
        <f>C96*D96/100</f>
        <v>528</v>
      </c>
    </row>
    <row r="97" spans="1:7" s="27" customFormat="1" x14ac:dyDescent="0.2">
      <c r="A97" s="90" t="s">
        <v>29</v>
      </c>
      <c r="B97" s="79"/>
      <c r="C97" s="79"/>
      <c r="D97" s="80"/>
      <c r="E97" s="91">
        <f>SUM(E90:E96)</f>
        <v>2648.35</v>
      </c>
      <c r="F97" s="26"/>
      <c r="G97" s="26"/>
    </row>
    <row r="98" spans="1:7" x14ac:dyDescent="0.2">
      <c r="A98" s="74" t="s">
        <v>30</v>
      </c>
      <c r="B98" s="75" t="s">
        <v>6</v>
      </c>
      <c r="C98" s="82">
        <f>'2.Encargos Sociais'!$C$37*100</f>
        <v>70.595951999999997</v>
      </c>
      <c r="D98" s="77">
        <f>E97</f>
        <v>2648.35</v>
      </c>
      <c r="E98" s="77">
        <f>D98*C98/100</f>
        <v>1869.6278947919998</v>
      </c>
    </row>
    <row r="99" spans="1:7" s="27" customFormat="1" x14ac:dyDescent="0.2">
      <c r="A99" s="90" t="s">
        <v>45</v>
      </c>
      <c r="B99" s="92"/>
      <c r="C99" s="92"/>
      <c r="D99" s="93"/>
      <c r="E99" s="91">
        <f>E97+E98</f>
        <v>4517.9778947919995</v>
      </c>
      <c r="F99" s="26"/>
      <c r="G99" s="26"/>
    </row>
    <row r="100" spans="1:7" x14ac:dyDescent="0.2">
      <c r="A100" s="74" t="s">
        <v>32</v>
      </c>
      <c r="B100" s="75" t="s">
        <v>33</v>
      </c>
      <c r="C100" s="83">
        <v>1</v>
      </c>
      <c r="D100" s="77">
        <f>E99</f>
        <v>4517.9778947919995</v>
      </c>
      <c r="E100" s="77">
        <f>C100*D100</f>
        <v>4517.9778947919995</v>
      </c>
    </row>
    <row r="101" spans="1:7" x14ac:dyDescent="0.2">
      <c r="D101" s="84" t="s">
        <v>34</v>
      </c>
      <c r="E101" s="85">
        <f>$B$52</f>
        <v>4.5400000000000003E-2</v>
      </c>
      <c r="F101" s="86">
        <f>E100*E101</f>
        <v>205.1161964235568</v>
      </c>
    </row>
    <row r="102" spans="1:7" ht="11.25" customHeight="1" x14ac:dyDescent="0.2"/>
    <row r="103" spans="1:7" x14ac:dyDescent="0.2">
      <c r="A103" s="2" t="s">
        <v>46</v>
      </c>
    </row>
    <row r="104" spans="1:7" x14ac:dyDescent="0.2">
      <c r="A104" s="66" t="s">
        <v>16</v>
      </c>
      <c r="B104" s="67" t="s">
        <v>17</v>
      </c>
      <c r="C104" s="67" t="s">
        <v>10</v>
      </c>
      <c r="D104" s="68" t="s">
        <v>18</v>
      </c>
      <c r="E104" s="68" t="s">
        <v>19</v>
      </c>
      <c r="F104" s="69" t="s">
        <v>20</v>
      </c>
    </row>
    <row r="105" spans="1:7" x14ac:dyDescent="0.2">
      <c r="A105" s="70" t="s">
        <v>42</v>
      </c>
      <c r="B105" s="71" t="s">
        <v>22</v>
      </c>
      <c r="C105" s="71">
        <v>1</v>
      </c>
      <c r="D105" s="73">
        <f>D90</f>
        <v>2120.35</v>
      </c>
      <c r="E105" s="73">
        <f>C105*D105</f>
        <v>2120.35</v>
      </c>
    </row>
    <row r="106" spans="1:7" x14ac:dyDescent="0.2">
      <c r="A106" s="70" t="s">
        <v>43</v>
      </c>
      <c r="B106" s="71" t="s">
        <v>22</v>
      </c>
      <c r="C106" s="71">
        <v>1</v>
      </c>
      <c r="D106" s="77">
        <f>D91</f>
        <v>1320</v>
      </c>
      <c r="E106" s="77"/>
    </row>
    <row r="107" spans="1:7" x14ac:dyDescent="0.2">
      <c r="A107" s="74" t="s">
        <v>36</v>
      </c>
      <c r="B107" s="75" t="s">
        <v>37</v>
      </c>
      <c r="C107" s="76"/>
      <c r="D107" s="74"/>
      <c r="E107" s="74"/>
    </row>
    <row r="108" spans="1:7" x14ac:dyDescent="0.2">
      <c r="A108" s="74"/>
      <c r="B108" s="75" t="s">
        <v>38</v>
      </c>
      <c r="C108" s="77">
        <f>C107*8/7</f>
        <v>0</v>
      </c>
      <c r="D108" s="77">
        <f>D105/220*0.2</f>
        <v>1.9275909090909089</v>
      </c>
      <c r="E108" s="77">
        <f>C107*D108</f>
        <v>0</v>
      </c>
    </row>
    <row r="109" spans="1:7" x14ac:dyDescent="0.2">
      <c r="A109" s="74" t="s">
        <v>23</v>
      </c>
      <c r="B109" s="75" t="s">
        <v>24</v>
      </c>
      <c r="C109" s="76"/>
      <c r="D109" s="77">
        <f>D105/220*2</f>
        <v>19.275909090909089</v>
      </c>
      <c r="E109" s="77">
        <f>C109*D109</f>
        <v>0</v>
      </c>
    </row>
    <row r="110" spans="1:7" x14ac:dyDescent="0.2">
      <c r="A110" s="74" t="s">
        <v>39</v>
      </c>
      <c r="B110" s="75" t="s">
        <v>37</v>
      </c>
      <c r="C110" s="76"/>
      <c r="D110" s="77"/>
      <c r="E110" s="77"/>
    </row>
    <row r="111" spans="1:7" x14ac:dyDescent="0.2">
      <c r="A111" s="74"/>
      <c r="B111" s="75" t="s">
        <v>38</v>
      </c>
      <c r="C111" s="77">
        <f>C110*8/7</f>
        <v>0</v>
      </c>
      <c r="D111" s="77">
        <f>D105/220*2*1.2</f>
        <v>23.131090909090904</v>
      </c>
      <c r="E111" s="77">
        <f>C111*D111</f>
        <v>0</v>
      </c>
    </row>
    <row r="112" spans="1:7" x14ac:dyDescent="0.2">
      <c r="A112" s="74" t="s">
        <v>25</v>
      </c>
      <c r="B112" s="75" t="s">
        <v>24</v>
      </c>
      <c r="C112" s="76"/>
      <c r="D112" s="77">
        <f>D105/220*1.5</f>
        <v>14.456931818181816</v>
      </c>
      <c r="E112" s="77">
        <f>C112*D112</f>
        <v>0</v>
      </c>
    </row>
    <row r="113" spans="1:7" x14ac:dyDescent="0.2">
      <c r="A113" s="74" t="s">
        <v>40</v>
      </c>
      <c r="B113" s="75" t="s">
        <v>37</v>
      </c>
      <c r="C113" s="76"/>
      <c r="D113" s="77"/>
      <c r="E113" s="77"/>
    </row>
    <row r="114" spans="1:7" x14ac:dyDescent="0.2">
      <c r="A114" s="74"/>
      <c r="B114" s="75" t="s">
        <v>38</v>
      </c>
      <c r="C114" s="77">
        <f>C113*8/7</f>
        <v>0</v>
      </c>
      <c r="D114" s="77">
        <f>D105/220*1.5*1.2</f>
        <v>17.348318181818179</v>
      </c>
      <c r="E114" s="77">
        <f>C114*D114</f>
        <v>0</v>
      </c>
    </row>
    <row r="115" spans="1:7" ht="12.75" customHeight="1" x14ac:dyDescent="0.2">
      <c r="A115" s="74" t="s">
        <v>26</v>
      </c>
      <c r="B115" s="75" t="s">
        <v>27</v>
      </c>
      <c r="D115" s="77">
        <f>63/302*(SUM(E109:E114))</f>
        <v>0</v>
      </c>
      <c r="E115" s="77">
        <f>D115</f>
        <v>0</v>
      </c>
    </row>
    <row r="116" spans="1:7" x14ac:dyDescent="0.2">
      <c r="A116" s="74" t="s">
        <v>44</v>
      </c>
      <c r="B116" s="75"/>
      <c r="C116" s="89"/>
      <c r="D116" s="77"/>
      <c r="E116" s="77"/>
    </row>
    <row r="117" spans="1:7" x14ac:dyDescent="0.2">
      <c r="A117" s="74" t="s">
        <v>28</v>
      </c>
      <c r="B117" s="75" t="s">
        <v>6</v>
      </c>
      <c r="C117" s="77">
        <f>+C96</f>
        <v>40</v>
      </c>
      <c r="D117" s="77">
        <f>IF(C116=2,SUM(E105:E115),IF(C116=1,SUM(E105:E115)*D106/D105,0))</f>
        <v>0</v>
      </c>
      <c r="E117" s="77">
        <f>C117*D117/100</f>
        <v>0</v>
      </c>
    </row>
    <row r="118" spans="1:7" s="27" customFormat="1" x14ac:dyDescent="0.2">
      <c r="A118" s="78" t="s">
        <v>29</v>
      </c>
      <c r="B118" s="79"/>
      <c r="C118" s="79"/>
      <c r="D118" s="80"/>
      <c r="E118" s="81">
        <f>SUM(E105:E117)</f>
        <v>2120.35</v>
      </c>
      <c r="F118" s="26"/>
      <c r="G118" s="26"/>
    </row>
    <row r="119" spans="1:7" x14ac:dyDescent="0.2">
      <c r="A119" s="74" t="s">
        <v>30</v>
      </c>
      <c r="B119" s="75" t="s">
        <v>6</v>
      </c>
      <c r="C119" s="82">
        <f>'2.Encargos Sociais'!$C$37*100</f>
        <v>70.595951999999997</v>
      </c>
      <c r="D119" s="77">
        <f>E118</f>
        <v>2120.35</v>
      </c>
      <c r="E119" s="77">
        <f>D119*C119/100</f>
        <v>1496.8812682319999</v>
      </c>
    </row>
    <row r="120" spans="1:7" s="27" customFormat="1" x14ac:dyDescent="0.2">
      <c r="A120" s="78" t="s">
        <v>45</v>
      </c>
      <c r="B120" s="79"/>
      <c r="C120" s="79"/>
      <c r="D120" s="80"/>
      <c r="E120" s="81">
        <f>E118+E119</f>
        <v>3617.2312682319998</v>
      </c>
      <c r="F120" s="26"/>
      <c r="G120" s="26"/>
    </row>
    <row r="121" spans="1:7" x14ac:dyDescent="0.2">
      <c r="A121" s="74" t="s">
        <v>32</v>
      </c>
      <c r="B121" s="75" t="s">
        <v>33</v>
      </c>
      <c r="C121" s="83"/>
      <c r="D121" s="77">
        <f>E120</f>
        <v>3617.2312682319998</v>
      </c>
      <c r="E121" s="77">
        <f>C121*D121</f>
        <v>0</v>
      </c>
    </row>
    <row r="122" spans="1:7" x14ac:dyDescent="0.2">
      <c r="D122" s="84" t="s">
        <v>34</v>
      </c>
      <c r="E122" s="85">
        <f>$B$52</f>
        <v>4.5400000000000003E-2</v>
      </c>
      <c r="F122" s="86">
        <f>E121*E122</f>
        <v>0</v>
      </c>
    </row>
    <row r="123" spans="1:7" ht="11.25" customHeight="1" x14ac:dyDescent="0.2">
      <c r="G123" s="2"/>
    </row>
    <row r="124" spans="1:7" x14ac:dyDescent="0.2">
      <c r="A124" s="2" t="s">
        <v>47</v>
      </c>
      <c r="B124" s="94"/>
      <c r="D124" s="2"/>
      <c r="E124" s="2"/>
      <c r="G124" s="2"/>
    </row>
    <row r="125" spans="1:7" x14ac:dyDescent="0.2">
      <c r="A125" s="66" t="s">
        <v>16</v>
      </c>
      <c r="B125" s="67" t="s">
        <v>17</v>
      </c>
      <c r="C125" s="67" t="s">
        <v>10</v>
      </c>
      <c r="D125" s="68" t="s">
        <v>18</v>
      </c>
      <c r="E125" s="68" t="s">
        <v>19</v>
      </c>
      <c r="F125" s="69" t="s">
        <v>20</v>
      </c>
      <c r="G125" s="2"/>
    </row>
    <row r="126" spans="1:7" x14ac:dyDescent="0.2">
      <c r="A126" s="74" t="s">
        <v>48</v>
      </c>
      <c r="B126" s="75" t="s">
        <v>27</v>
      </c>
      <c r="C126" s="95">
        <v>1</v>
      </c>
      <c r="D126" s="96">
        <v>2.79</v>
      </c>
      <c r="E126" s="77"/>
      <c r="G126" s="2"/>
    </row>
    <row r="127" spans="1:7" x14ac:dyDescent="0.2">
      <c r="A127" s="74" t="s">
        <v>49</v>
      </c>
      <c r="B127" s="75" t="s">
        <v>50</v>
      </c>
      <c r="C127" s="11">
        <v>4</v>
      </c>
      <c r="D127" s="77"/>
      <c r="E127" s="77"/>
      <c r="G127" s="2"/>
    </row>
    <row r="128" spans="1:7" x14ac:dyDescent="0.2">
      <c r="A128" s="74" t="s">
        <v>51</v>
      </c>
      <c r="B128" s="75" t="s">
        <v>52</v>
      </c>
      <c r="C128" s="97">
        <f>$C$127*2*(C66+C85)</f>
        <v>8</v>
      </c>
      <c r="D128" s="73">
        <f>IFERROR((($C$127*2*$D$126)-(E58*0.06*C127/26))/($C$127*2),"-")</f>
        <v>0.84256153846153881</v>
      </c>
      <c r="E128" s="77">
        <f>IFERROR(C128*D128,"-")</f>
        <v>6.7404923076923104</v>
      </c>
      <c r="G128" s="2"/>
    </row>
    <row r="129" spans="1:7" x14ac:dyDescent="0.2">
      <c r="A129" s="70" t="s">
        <v>53</v>
      </c>
      <c r="B129" s="71" t="s">
        <v>52</v>
      </c>
      <c r="C129" s="97">
        <f>$C$127*2*(C100+C121)</f>
        <v>8</v>
      </c>
      <c r="D129" s="73">
        <f>IFERROR((($C$127*2*$D$126)-(E90*0.06*C127/26))/($C$127*2),"-")</f>
        <v>0.3434423076923081</v>
      </c>
      <c r="E129" s="73">
        <f>IFERROR(C129*D129,"-")</f>
        <v>2.7475384615384648</v>
      </c>
      <c r="G129" s="2"/>
    </row>
    <row r="130" spans="1:7" x14ac:dyDescent="0.2">
      <c r="F130" s="98">
        <f>SUM(E128:E129)</f>
        <v>9.4880307692307753</v>
      </c>
      <c r="G130" s="2"/>
    </row>
    <row r="131" spans="1:7" ht="11.25" customHeight="1" x14ac:dyDescent="0.2">
      <c r="G131" s="2"/>
    </row>
    <row r="132" spans="1:7" x14ac:dyDescent="0.2">
      <c r="A132" s="2" t="s">
        <v>54</v>
      </c>
      <c r="F132" s="26"/>
      <c r="G132" s="2"/>
    </row>
    <row r="133" spans="1:7" x14ac:dyDescent="0.2">
      <c r="A133" s="66" t="s">
        <v>16</v>
      </c>
      <c r="B133" s="67" t="s">
        <v>17</v>
      </c>
      <c r="C133" s="67" t="s">
        <v>10</v>
      </c>
      <c r="D133" s="68" t="s">
        <v>18</v>
      </c>
      <c r="E133" s="68" t="s">
        <v>19</v>
      </c>
      <c r="F133" s="69" t="s">
        <v>20</v>
      </c>
      <c r="G133" s="2"/>
    </row>
    <row r="134" spans="1:7" x14ac:dyDescent="0.2">
      <c r="A134" s="74" t="str">
        <f>+A128</f>
        <v>Coletor</v>
      </c>
      <c r="B134" s="75" t="s">
        <v>55</v>
      </c>
      <c r="C134" s="97">
        <f>C127</f>
        <v>4</v>
      </c>
      <c r="D134" s="99">
        <f>22-(22*0.19)</f>
        <v>17.82</v>
      </c>
      <c r="E134" s="85">
        <f>C134*D134</f>
        <v>71.28</v>
      </c>
      <c r="F134" s="26"/>
      <c r="G134" s="2"/>
    </row>
    <row r="135" spans="1:7" x14ac:dyDescent="0.2">
      <c r="A135" s="74" t="str">
        <f>+A129</f>
        <v>Motorista</v>
      </c>
      <c r="B135" s="75" t="s">
        <v>55</v>
      </c>
      <c r="C135" s="97">
        <f>C127</f>
        <v>4</v>
      </c>
      <c r="D135" s="99">
        <f>16-(16*0.2)</f>
        <v>12.8</v>
      </c>
      <c r="E135" s="85">
        <f>C135*D135</f>
        <v>51.2</v>
      </c>
      <c r="F135" s="26"/>
      <c r="G135" s="2"/>
    </row>
    <row r="136" spans="1:7" x14ac:dyDescent="0.2">
      <c r="F136" s="98">
        <f>SUM(E134:E135)</f>
        <v>122.48</v>
      </c>
      <c r="G136" s="2"/>
    </row>
    <row r="137" spans="1:7" x14ac:dyDescent="0.2">
      <c r="G137" s="2"/>
    </row>
    <row r="138" spans="1:7" x14ac:dyDescent="0.2">
      <c r="A138" s="2" t="s">
        <v>56</v>
      </c>
      <c r="F138" s="26"/>
      <c r="G138" s="2"/>
    </row>
    <row r="139" spans="1:7" x14ac:dyDescent="0.2">
      <c r="A139" s="66" t="s">
        <v>16</v>
      </c>
      <c r="B139" s="67" t="s">
        <v>17</v>
      </c>
      <c r="C139" s="67" t="s">
        <v>10</v>
      </c>
      <c r="D139" s="68" t="s">
        <v>18</v>
      </c>
      <c r="E139" s="68" t="s">
        <v>19</v>
      </c>
      <c r="F139" s="69" t="s">
        <v>20</v>
      </c>
      <c r="G139" s="2"/>
    </row>
    <row r="140" spans="1:7" x14ac:dyDescent="0.2">
      <c r="A140" s="74" t="str">
        <f>+A134</f>
        <v>Coletor</v>
      </c>
      <c r="B140" s="75" t="s">
        <v>55</v>
      </c>
      <c r="C140" s="97"/>
      <c r="D140" s="99"/>
      <c r="E140" s="85">
        <f>C140*D140</f>
        <v>0</v>
      </c>
      <c r="F140" s="26"/>
      <c r="G140" s="2"/>
    </row>
    <row r="141" spans="1:7" x14ac:dyDescent="0.2">
      <c r="A141" s="74" t="str">
        <f>+A135</f>
        <v>Motorista</v>
      </c>
      <c r="B141" s="75" t="s">
        <v>55</v>
      </c>
      <c r="C141" s="97"/>
      <c r="D141" s="99"/>
      <c r="E141" s="85">
        <f>C141*D141</f>
        <v>0</v>
      </c>
      <c r="F141" s="26"/>
      <c r="G141" s="2"/>
    </row>
    <row r="142" spans="1:7" x14ac:dyDescent="0.2">
      <c r="D142" s="84" t="s">
        <v>34</v>
      </c>
      <c r="E142" s="85">
        <f>$B$52</f>
        <v>4.5400000000000003E-2</v>
      </c>
      <c r="F142" s="98">
        <f>SUM(E140:E141)*E142</f>
        <v>0</v>
      </c>
      <c r="G142" s="2"/>
    </row>
    <row r="143" spans="1:7" x14ac:dyDescent="0.2">
      <c r="G143" s="2"/>
    </row>
    <row r="144" spans="1:7" x14ac:dyDescent="0.2">
      <c r="A144" s="100" t="s">
        <v>57</v>
      </c>
      <c r="B144" s="101"/>
      <c r="C144" s="101"/>
      <c r="D144" s="41"/>
      <c r="E144" s="102"/>
      <c r="F144" s="98">
        <f>F142+F136+F130+F122+F101+F86+F67</f>
        <v>520.09154102957314</v>
      </c>
      <c r="G144" s="2"/>
    </row>
    <row r="146" spans="1:7" x14ac:dyDescent="0.2">
      <c r="A146" s="27" t="s">
        <v>58</v>
      </c>
      <c r="G146" s="2"/>
    </row>
    <row r="147" spans="1:7" ht="11.25" customHeight="1" x14ac:dyDescent="0.2">
      <c r="G147" s="2"/>
    </row>
    <row r="148" spans="1:7" ht="13.5" customHeight="1" x14ac:dyDescent="0.2">
      <c r="A148" s="2" t="s">
        <v>59</v>
      </c>
      <c r="G148" s="2"/>
    </row>
    <row r="149" spans="1:7" ht="11.25" customHeight="1" x14ac:dyDescent="0.2">
      <c r="G149" s="2"/>
    </row>
    <row r="150" spans="1:7" ht="27.75" customHeight="1" x14ac:dyDescent="0.2">
      <c r="A150" s="66" t="s">
        <v>16</v>
      </c>
      <c r="B150" s="67" t="s">
        <v>17</v>
      </c>
      <c r="C150" s="103" t="s">
        <v>60</v>
      </c>
      <c r="D150" s="68" t="s">
        <v>18</v>
      </c>
      <c r="E150" s="68" t="s">
        <v>19</v>
      </c>
      <c r="F150" s="69" t="s">
        <v>20</v>
      </c>
      <c r="G150" s="2"/>
    </row>
    <row r="151" spans="1:7" x14ac:dyDescent="0.2">
      <c r="A151" s="70" t="s">
        <v>61</v>
      </c>
      <c r="B151" s="71" t="s">
        <v>55</v>
      </c>
      <c r="C151" s="104">
        <v>4</v>
      </c>
      <c r="D151" s="72">
        <v>310</v>
      </c>
      <c r="E151" s="73">
        <f t="shared" ref="E151:E162" si="1">IFERROR(D151/C151,0)</f>
        <v>77.5</v>
      </c>
      <c r="G151" s="2"/>
    </row>
    <row r="152" spans="1:7" ht="12.75" customHeight="1" x14ac:dyDescent="0.2">
      <c r="A152" s="74" t="s">
        <v>62</v>
      </c>
      <c r="B152" s="75" t="s">
        <v>55</v>
      </c>
      <c r="C152" s="104">
        <v>3</v>
      </c>
      <c r="D152" s="72">
        <v>91.67</v>
      </c>
      <c r="E152" s="73">
        <f t="shared" si="1"/>
        <v>30.556666666666668</v>
      </c>
      <c r="G152" s="2"/>
    </row>
    <row r="153" spans="1:7" x14ac:dyDescent="0.2">
      <c r="A153" s="74" t="s">
        <v>63</v>
      </c>
      <c r="B153" s="75" t="s">
        <v>55</v>
      </c>
      <c r="C153" s="104">
        <v>2</v>
      </c>
      <c r="D153" s="72">
        <v>62.67</v>
      </c>
      <c r="E153" s="73">
        <f t="shared" si="1"/>
        <v>31.335000000000001</v>
      </c>
      <c r="G153" s="2"/>
    </row>
    <row r="154" spans="1:7" ht="12.75" customHeight="1" x14ac:dyDescent="0.2">
      <c r="A154" s="74" t="s">
        <v>64</v>
      </c>
      <c r="B154" s="75" t="s">
        <v>55</v>
      </c>
      <c r="C154" s="104">
        <v>2</v>
      </c>
      <c r="D154" s="72">
        <v>28</v>
      </c>
      <c r="E154" s="73">
        <f t="shared" si="1"/>
        <v>14</v>
      </c>
      <c r="G154" s="2"/>
    </row>
    <row r="155" spans="1:7" ht="13.5" customHeight="1" x14ac:dyDescent="0.2">
      <c r="A155" s="74" t="s">
        <v>65</v>
      </c>
      <c r="B155" s="75" t="s">
        <v>66</v>
      </c>
      <c r="C155" s="104">
        <v>3</v>
      </c>
      <c r="D155" s="72">
        <v>114.22</v>
      </c>
      <c r="E155" s="73">
        <f t="shared" si="1"/>
        <v>38.073333333333331</v>
      </c>
      <c r="G155" s="2"/>
    </row>
    <row r="156" spans="1:7" ht="12.75" customHeight="1" x14ac:dyDescent="0.2">
      <c r="A156" s="74" t="s">
        <v>67</v>
      </c>
      <c r="B156" s="75" t="s">
        <v>66</v>
      </c>
      <c r="C156" s="104">
        <v>3</v>
      </c>
      <c r="D156" s="72">
        <v>8.9700000000000006</v>
      </c>
      <c r="E156" s="73">
        <f t="shared" si="1"/>
        <v>2.99</v>
      </c>
    </row>
    <row r="157" spans="1:7" x14ac:dyDescent="0.2">
      <c r="A157" s="74" t="s">
        <v>68</v>
      </c>
      <c r="B157" s="75" t="s">
        <v>55</v>
      </c>
      <c r="C157" s="104">
        <v>6</v>
      </c>
      <c r="D157" s="72">
        <v>50.5</v>
      </c>
      <c r="E157" s="73">
        <f t="shared" si="1"/>
        <v>8.4166666666666661</v>
      </c>
    </row>
    <row r="158" spans="1:7" x14ac:dyDescent="0.2">
      <c r="A158" s="74" t="s">
        <v>69</v>
      </c>
      <c r="B158" s="75" t="s">
        <v>55</v>
      </c>
      <c r="C158" s="104">
        <v>2</v>
      </c>
      <c r="D158" s="72">
        <v>11.24</v>
      </c>
      <c r="E158" s="73">
        <f t="shared" si="1"/>
        <v>5.62</v>
      </c>
    </row>
    <row r="159" spans="1:7" x14ac:dyDescent="0.2">
      <c r="A159" s="74" t="s">
        <v>70</v>
      </c>
      <c r="B159" s="75" t="s">
        <v>55</v>
      </c>
      <c r="C159" s="104">
        <v>1</v>
      </c>
      <c r="D159" s="72">
        <v>176.8</v>
      </c>
      <c r="E159" s="73">
        <f t="shared" si="1"/>
        <v>176.8</v>
      </c>
    </row>
    <row r="160" spans="1:7" x14ac:dyDescent="0.2">
      <c r="A160" s="74" t="s">
        <v>71</v>
      </c>
      <c r="B160" s="75" t="s">
        <v>55</v>
      </c>
      <c r="C160" s="104">
        <v>1</v>
      </c>
      <c r="D160" s="72">
        <v>2.6</v>
      </c>
      <c r="E160" s="73">
        <f t="shared" si="1"/>
        <v>2.6</v>
      </c>
    </row>
    <row r="161" spans="1:7" x14ac:dyDescent="0.2">
      <c r="A161" s="74" t="s">
        <v>72</v>
      </c>
      <c r="B161" s="75" t="s">
        <v>66</v>
      </c>
      <c r="C161" s="104">
        <v>0.2</v>
      </c>
      <c r="D161" s="72">
        <v>11.13</v>
      </c>
      <c r="E161" s="73">
        <f t="shared" si="1"/>
        <v>55.65</v>
      </c>
    </row>
    <row r="162" spans="1:7" ht="12.75" customHeight="1" x14ac:dyDescent="0.2">
      <c r="A162" s="74" t="s">
        <v>73</v>
      </c>
      <c r="B162" s="75" t="s">
        <v>74</v>
      </c>
      <c r="C162" s="104">
        <v>1</v>
      </c>
      <c r="D162" s="72">
        <v>31.33</v>
      </c>
      <c r="E162" s="73">
        <f t="shared" si="1"/>
        <v>31.33</v>
      </c>
    </row>
    <row r="163" spans="1:7" x14ac:dyDescent="0.2">
      <c r="A163" s="74" t="s">
        <v>75</v>
      </c>
      <c r="B163" s="75" t="s">
        <v>76</v>
      </c>
      <c r="C163" s="105">
        <v>1</v>
      </c>
      <c r="D163" s="72">
        <v>26.2</v>
      </c>
      <c r="E163" s="77">
        <f>C163*D163</f>
        <v>26.2</v>
      </c>
    </row>
    <row r="164" spans="1:7" x14ac:dyDescent="0.2">
      <c r="A164" s="74" t="s">
        <v>32</v>
      </c>
      <c r="B164" s="75" t="s">
        <v>33</v>
      </c>
      <c r="C164" s="105">
        <f>E42+E43</f>
        <v>1</v>
      </c>
      <c r="D164" s="77">
        <f>+SUM(E151:E163)</f>
        <v>501.07166666666666</v>
      </c>
      <c r="E164" s="77">
        <f>C164*D164</f>
        <v>501.07166666666666</v>
      </c>
    </row>
    <row r="165" spans="1:7" x14ac:dyDescent="0.2">
      <c r="D165" s="84" t="s">
        <v>34</v>
      </c>
      <c r="E165" s="85">
        <f>$B$52</f>
        <v>4.5400000000000003E-2</v>
      </c>
      <c r="F165" s="86">
        <f>E164*E165</f>
        <v>22.748653666666669</v>
      </c>
    </row>
    <row r="166" spans="1:7" ht="11.25" customHeight="1" x14ac:dyDescent="0.2"/>
    <row r="167" spans="1:7" ht="13.5" customHeight="1" x14ac:dyDescent="0.2">
      <c r="A167" s="2" t="s">
        <v>77</v>
      </c>
    </row>
    <row r="168" spans="1:7" ht="11.25" customHeight="1" x14ac:dyDescent="0.2"/>
    <row r="169" spans="1:7" ht="24" x14ac:dyDescent="0.2">
      <c r="A169" s="66" t="s">
        <v>16</v>
      </c>
      <c r="B169" s="67" t="s">
        <v>17</v>
      </c>
      <c r="C169" s="103" t="s">
        <v>60</v>
      </c>
      <c r="D169" s="68" t="s">
        <v>18</v>
      </c>
      <c r="E169" s="68" t="s">
        <v>19</v>
      </c>
      <c r="F169" s="69" t="s">
        <v>20</v>
      </c>
    </row>
    <row r="170" spans="1:7" x14ac:dyDescent="0.2">
      <c r="A170" s="70" t="s">
        <v>61</v>
      </c>
      <c r="B170" s="71" t="s">
        <v>55</v>
      </c>
      <c r="C170" s="104">
        <v>4</v>
      </c>
      <c r="D170" s="73">
        <f>+D151</f>
        <v>310</v>
      </c>
      <c r="E170" s="73">
        <f t="shared" ref="E170:E175" si="2">IFERROR(D170/C170,0)</f>
        <v>77.5</v>
      </c>
    </row>
    <row r="171" spans="1:7" x14ac:dyDescent="0.2">
      <c r="A171" s="74" t="s">
        <v>62</v>
      </c>
      <c r="B171" s="75" t="s">
        <v>55</v>
      </c>
      <c r="C171" s="104">
        <v>4</v>
      </c>
      <c r="D171" s="77">
        <f>+D152</f>
        <v>91.67</v>
      </c>
      <c r="E171" s="73">
        <f t="shared" si="2"/>
        <v>22.9175</v>
      </c>
    </row>
    <row r="172" spans="1:7" x14ac:dyDescent="0.2">
      <c r="A172" s="74" t="s">
        <v>63</v>
      </c>
      <c r="B172" s="75" t="s">
        <v>55</v>
      </c>
      <c r="C172" s="104">
        <v>3</v>
      </c>
      <c r="D172" s="77">
        <f>+D153</f>
        <v>62.67</v>
      </c>
      <c r="E172" s="73">
        <f t="shared" si="2"/>
        <v>20.89</v>
      </c>
    </row>
    <row r="173" spans="1:7" x14ac:dyDescent="0.2">
      <c r="A173" s="74" t="s">
        <v>65</v>
      </c>
      <c r="B173" s="75" t="s">
        <v>66</v>
      </c>
      <c r="C173" s="104">
        <v>4</v>
      </c>
      <c r="D173" s="77">
        <f>+D155</f>
        <v>114.22</v>
      </c>
      <c r="E173" s="73">
        <f t="shared" si="2"/>
        <v>28.555</v>
      </c>
    </row>
    <row r="174" spans="1:7" x14ac:dyDescent="0.2">
      <c r="A174" s="74" t="s">
        <v>68</v>
      </c>
      <c r="B174" s="75" t="s">
        <v>55</v>
      </c>
      <c r="C174" s="104">
        <v>6</v>
      </c>
      <c r="D174" s="77">
        <f>+D157</f>
        <v>50.5</v>
      </c>
      <c r="E174" s="73">
        <f t="shared" si="2"/>
        <v>8.4166666666666661</v>
      </c>
      <c r="G174" s="2"/>
    </row>
    <row r="175" spans="1:7" x14ac:dyDescent="0.2">
      <c r="A175" s="74" t="s">
        <v>73</v>
      </c>
      <c r="B175" s="75" t="s">
        <v>78</v>
      </c>
      <c r="C175" s="104">
        <v>1</v>
      </c>
      <c r="D175" s="77">
        <f>+D162</f>
        <v>31.33</v>
      </c>
      <c r="E175" s="73">
        <f t="shared" si="2"/>
        <v>31.33</v>
      </c>
      <c r="G175" s="2"/>
    </row>
    <row r="176" spans="1:7" x14ac:dyDescent="0.2">
      <c r="A176" s="74" t="s">
        <v>75</v>
      </c>
      <c r="B176" s="75" t="s">
        <v>76</v>
      </c>
      <c r="C176" s="105">
        <v>1</v>
      </c>
      <c r="D176" s="72">
        <v>26.2</v>
      </c>
      <c r="E176" s="77">
        <f>C176*D176</f>
        <v>26.2</v>
      </c>
      <c r="G176" s="2"/>
    </row>
    <row r="177" spans="1:10" x14ac:dyDescent="0.2">
      <c r="A177" s="74" t="s">
        <v>32</v>
      </c>
      <c r="B177" s="75" t="s">
        <v>33</v>
      </c>
      <c r="C177" s="105">
        <f>E44+E45</f>
        <v>1</v>
      </c>
      <c r="D177" s="77">
        <f>+SUM(E170:E176)</f>
        <v>215.80916666666667</v>
      </c>
      <c r="E177" s="77">
        <f>C177*D177</f>
        <v>215.80916666666667</v>
      </c>
      <c r="G177" s="2"/>
    </row>
    <row r="178" spans="1:10" x14ac:dyDescent="0.2">
      <c r="D178" s="84" t="s">
        <v>34</v>
      </c>
      <c r="E178" s="85">
        <f>$B$52</f>
        <v>4.5400000000000003E-2</v>
      </c>
      <c r="F178" s="86">
        <f>E177*E178</f>
        <v>9.7977361666666667</v>
      </c>
      <c r="G178" s="2"/>
    </row>
    <row r="179" spans="1:10" ht="11.25" customHeight="1" x14ac:dyDescent="0.2">
      <c r="G179" s="2"/>
    </row>
    <row r="180" spans="1:10" x14ac:dyDescent="0.2">
      <c r="A180" s="100" t="s">
        <v>79</v>
      </c>
      <c r="B180" s="106"/>
      <c r="C180" s="106"/>
      <c r="D180" s="107"/>
      <c r="E180" s="108"/>
      <c r="F180" s="109">
        <f>+F165+F178</f>
        <v>32.546389833333336</v>
      </c>
      <c r="G180" s="2"/>
    </row>
    <row r="181" spans="1:10" ht="11.25" customHeight="1" x14ac:dyDescent="0.2">
      <c r="G181" s="2"/>
    </row>
    <row r="182" spans="1:10" x14ac:dyDescent="0.2">
      <c r="A182" s="27" t="s">
        <v>80</v>
      </c>
      <c r="G182" s="2"/>
    </row>
    <row r="183" spans="1:10" ht="11.25" customHeight="1" x14ac:dyDescent="0.2">
      <c r="B183" s="110"/>
      <c r="G183" s="2"/>
    </row>
    <row r="184" spans="1:10" x14ac:dyDescent="0.2">
      <c r="A184" s="111" t="s">
        <v>81</v>
      </c>
      <c r="G184" s="2"/>
    </row>
    <row r="185" spans="1:10" ht="11.25" customHeight="1" x14ac:dyDescent="0.2">
      <c r="G185" s="2"/>
    </row>
    <row r="186" spans="1:10" x14ac:dyDescent="0.2">
      <c r="A186" s="110" t="s">
        <v>82</v>
      </c>
      <c r="G186" s="2"/>
    </row>
    <row r="187" spans="1:10" x14ac:dyDescent="0.2">
      <c r="A187" s="66" t="s">
        <v>16</v>
      </c>
      <c r="B187" s="67" t="s">
        <v>17</v>
      </c>
      <c r="C187" s="67" t="s">
        <v>10</v>
      </c>
      <c r="D187" s="68" t="s">
        <v>18</v>
      </c>
      <c r="E187" s="68" t="s">
        <v>19</v>
      </c>
      <c r="F187" s="69" t="s">
        <v>20</v>
      </c>
      <c r="G187" s="2"/>
    </row>
    <row r="188" spans="1:10" x14ac:dyDescent="0.2">
      <c r="A188" s="70" t="s">
        <v>83</v>
      </c>
      <c r="B188" s="71" t="s">
        <v>55</v>
      </c>
      <c r="C188" s="71">
        <v>1</v>
      </c>
      <c r="D188" s="72">
        <v>269244</v>
      </c>
      <c r="E188" s="73">
        <f>C188*D188</f>
        <v>269244</v>
      </c>
      <c r="G188" s="2"/>
    </row>
    <row r="189" spans="1:10" x14ac:dyDescent="0.2">
      <c r="A189" s="74" t="s">
        <v>84</v>
      </c>
      <c r="B189" s="75" t="s">
        <v>85</v>
      </c>
      <c r="C189" s="83">
        <v>10</v>
      </c>
      <c r="D189" s="77"/>
      <c r="E189" s="77"/>
      <c r="G189" s="2"/>
    </row>
    <row r="190" spans="1:10" x14ac:dyDescent="0.2">
      <c r="A190" s="74" t="s">
        <v>86</v>
      </c>
      <c r="B190" s="75" t="s">
        <v>85</v>
      </c>
      <c r="C190" s="83">
        <v>0</v>
      </c>
      <c r="D190" s="77"/>
      <c r="E190" s="77"/>
      <c r="F190" s="112"/>
      <c r="I190" s="113"/>
      <c r="J190" s="113"/>
    </row>
    <row r="191" spans="1:10" x14ac:dyDescent="0.2">
      <c r="A191" s="74" t="s">
        <v>87</v>
      </c>
      <c r="B191" s="75" t="s">
        <v>6</v>
      </c>
      <c r="C191" s="82">
        <v>55.68</v>
      </c>
      <c r="D191" s="77">
        <f>E188</f>
        <v>269244</v>
      </c>
      <c r="E191" s="77">
        <f>C191*D191/100</f>
        <v>149915.05919999999</v>
      </c>
    </row>
    <row r="192" spans="1:10" x14ac:dyDescent="0.2">
      <c r="A192" s="114" t="s">
        <v>88</v>
      </c>
      <c r="B192" s="115" t="s">
        <v>22</v>
      </c>
      <c r="C192" s="115">
        <f>C189*12</f>
        <v>120</v>
      </c>
      <c r="D192" s="116">
        <f>IF(C190&lt;=C189,E191,0)</f>
        <v>149915.05919999999</v>
      </c>
      <c r="E192" s="116">
        <f>IFERROR(D192/C192,0)</f>
        <v>1249.29216</v>
      </c>
    </row>
    <row r="193" spans="1:10" x14ac:dyDescent="0.2">
      <c r="A193" s="70" t="s">
        <v>89</v>
      </c>
      <c r="B193" s="71" t="s">
        <v>55</v>
      </c>
      <c r="C193" s="71">
        <f>C188</f>
        <v>1</v>
      </c>
      <c r="D193" s="72">
        <v>129106</v>
      </c>
      <c r="E193" s="73">
        <f>C193*D193</f>
        <v>129106</v>
      </c>
      <c r="G193" s="2"/>
    </row>
    <row r="194" spans="1:10" x14ac:dyDescent="0.2">
      <c r="A194" s="74" t="s">
        <v>90</v>
      </c>
      <c r="B194" s="75" t="s">
        <v>85</v>
      </c>
      <c r="C194" s="83">
        <v>10</v>
      </c>
      <c r="D194" s="77"/>
      <c r="E194" s="77"/>
    </row>
    <row r="195" spans="1:10" x14ac:dyDescent="0.2">
      <c r="A195" s="74" t="s">
        <v>91</v>
      </c>
      <c r="B195" s="75" t="s">
        <v>85</v>
      </c>
      <c r="C195" s="83">
        <v>0</v>
      </c>
      <c r="D195" s="77"/>
      <c r="E195" s="77"/>
      <c r="F195" s="112"/>
      <c r="I195" s="113"/>
      <c r="J195" s="113"/>
    </row>
    <row r="196" spans="1:10" x14ac:dyDescent="0.2">
      <c r="A196" s="74" t="s">
        <v>92</v>
      </c>
      <c r="B196" s="75" t="s">
        <v>6</v>
      </c>
      <c r="C196" s="117">
        <v>55.68</v>
      </c>
      <c r="D196" s="77">
        <f>E193</f>
        <v>129106</v>
      </c>
      <c r="E196" s="77">
        <f>C196*D196/100</f>
        <v>71886.220799999996</v>
      </c>
    </row>
    <row r="197" spans="1:10" x14ac:dyDescent="0.2">
      <c r="A197" s="90" t="s">
        <v>93</v>
      </c>
      <c r="B197" s="118" t="s">
        <v>22</v>
      </c>
      <c r="C197" s="118">
        <f>C194*12</f>
        <v>120</v>
      </c>
      <c r="D197" s="91">
        <f>IF(C195&lt;=C194,E196,0)</f>
        <v>71886.220799999996</v>
      </c>
      <c r="E197" s="91">
        <f>IFERROR(D197/C197,0)</f>
        <v>599.05183999999997</v>
      </c>
    </row>
    <row r="198" spans="1:10" x14ac:dyDescent="0.2">
      <c r="A198" s="78" t="s">
        <v>94</v>
      </c>
      <c r="B198" s="79"/>
      <c r="C198" s="79"/>
      <c r="D198" s="80"/>
      <c r="E198" s="81">
        <f>E192+E197</f>
        <v>1848.3440000000001</v>
      </c>
    </row>
    <row r="199" spans="1:10" x14ac:dyDescent="0.2">
      <c r="A199" s="90" t="s">
        <v>95</v>
      </c>
      <c r="B199" s="118" t="s">
        <v>55</v>
      </c>
      <c r="C199" s="83">
        <v>1</v>
      </c>
      <c r="D199" s="91">
        <f>E198</f>
        <v>1848.3440000000001</v>
      </c>
      <c r="E199" s="81">
        <f>C199*D199</f>
        <v>1848.3440000000001</v>
      </c>
    </row>
    <row r="200" spans="1:10" x14ac:dyDescent="0.2">
      <c r="A200" s="119"/>
      <c r="B200" s="119"/>
      <c r="C200" s="119"/>
      <c r="D200" s="84" t="s">
        <v>34</v>
      </c>
      <c r="E200" s="85">
        <f>$B$52</f>
        <v>4.5400000000000003E-2</v>
      </c>
      <c r="F200" s="109">
        <f>E199*E200</f>
        <v>83.914817600000006</v>
      </c>
    </row>
    <row r="201" spans="1:10" ht="11.25" customHeight="1" x14ac:dyDescent="0.2"/>
    <row r="202" spans="1:10" x14ac:dyDescent="0.2">
      <c r="A202" s="110" t="s">
        <v>96</v>
      </c>
    </row>
    <row r="203" spans="1:10" x14ac:dyDescent="0.2">
      <c r="A203" s="66" t="s">
        <v>16</v>
      </c>
      <c r="B203" s="67" t="s">
        <v>17</v>
      </c>
      <c r="C203" s="67" t="s">
        <v>10</v>
      </c>
      <c r="D203" s="68" t="s">
        <v>18</v>
      </c>
      <c r="E203" s="68" t="s">
        <v>19</v>
      </c>
      <c r="F203" s="69" t="s">
        <v>20</v>
      </c>
      <c r="I203" s="113"/>
      <c r="J203" s="113"/>
    </row>
    <row r="204" spans="1:10" x14ac:dyDescent="0.2">
      <c r="A204" s="70" t="s">
        <v>97</v>
      </c>
      <c r="B204" s="71" t="s">
        <v>55</v>
      </c>
      <c r="C204" s="71">
        <v>1</v>
      </c>
      <c r="D204" s="73">
        <f>D188</f>
        <v>269244</v>
      </c>
      <c r="E204" s="73">
        <f>C204*D204</f>
        <v>269244</v>
      </c>
      <c r="F204" s="112"/>
      <c r="I204" s="113"/>
      <c r="J204" s="113"/>
    </row>
    <row r="205" spans="1:10" x14ac:dyDescent="0.2">
      <c r="A205" s="74" t="s">
        <v>98</v>
      </c>
      <c r="B205" s="75" t="s">
        <v>6</v>
      </c>
      <c r="C205" s="83">
        <v>13.75</v>
      </c>
      <c r="D205" s="77"/>
      <c r="E205" s="77"/>
      <c r="F205" s="112"/>
      <c r="I205" s="113"/>
      <c r="J205" s="113"/>
    </row>
    <row r="206" spans="1:10" x14ac:dyDescent="0.2">
      <c r="A206" s="74" t="s">
        <v>99</v>
      </c>
      <c r="B206" s="75" t="s">
        <v>27</v>
      </c>
      <c r="C206" s="120">
        <f>IFERROR(IF(C190&lt;=C189,E188-(C191/(100*C189)*C190)*E188,E188-E191),0)</f>
        <v>269244</v>
      </c>
      <c r="D206" s="77"/>
      <c r="E206" s="77"/>
      <c r="F206" s="112"/>
      <c r="I206" s="113"/>
      <c r="J206" s="113"/>
    </row>
    <row r="207" spans="1:10" x14ac:dyDescent="0.2">
      <c r="A207" s="74" t="s">
        <v>100</v>
      </c>
      <c r="B207" s="75" t="s">
        <v>27</v>
      </c>
      <c r="C207" s="77">
        <f>IFERROR(IF(C190&gt;=C189,C206,((((C206)-(E188-E191))*(((C189-C190)+1)/(2*(C189-C190))))+(E188-E191))),0)</f>
        <v>201782.22336</v>
      </c>
      <c r="D207" s="77"/>
      <c r="E207" s="77"/>
      <c r="F207" s="112"/>
      <c r="I207" s="113"/>
      <c r="J207" s="113"/>
    </row>
    <row r="208" spans="1:10" x14ac:dyDescent="0.2">
      <c r="A208" s="114" t="s">
        <v>101</v>
      </c>
      <c r="B208" s="115" t="s">
        <v>27</v>
      </c>
      <c r="C208" s="115"/>
      <c r="D208" s="116">
        <f>C205*C207/12/100</f>
        <v>2312.0879760000003</v>
      </c>
      <c r="E208" s="116">
        <f>D208</f>
        <v>2312.0879760000003</v>
      </c>
      <c r="F208" s="112"/>
      <c r="I208" s="113"/>
      <c r="J208" s="113"/>
    </row>
    <row r="209" spans="1:10" x14ac:dyDescent="0.2">
      <c r="A209" s="70" t="s">
        <v>102</v>
      </c>
      <c r="B209" s="71" t="s">
        <v>55</v>
      </c>
      <c r="C209" s="71">
        <f>C193</f>
        <v>1</v>
      </c>
      <c r="D209" s="73">
        <f>D193</f>
        <v>129106</v>
      </c>
      <c r="E209" s="73">
        <f>C209*D209</f>
        <v>129106</v>
      </c>
      <c r="F209" s="112"/>
      <c r="I209" s="113"/>
      <c r="J209" s="113"/>
    </row>
    <row r="210" spans="1:10" x14ac:dyDescent="0.2">
      <c r="A210" s="74" t="s">
        <v>98</v>
      </c>
      <c r="B210" s="75" t="s">
        <v>6</v>
      </c>
      <c r="C210" s="75">
        <f>C205</f>
        <v>13.75</v>
      </c>
      <c r="D210" s="77"/>
      <c r="E210" s="77"/>
      <c r="F210" s="112"/>
      <c r="I210" s="113"/>
      <c r="J210" s="113"/>
    </row>
    <row r="211" spans="1:10" x14ac:dyDescent="0.2">
      <c r="A211" s="74" t="s">
        <v>103</v>
      </c>
      <c r="B211" s="75" t="s">
        <v>27</v>
      </c>
      <c r="C211" s="120">
        <f>IFERROR(IF(C195&lt;=C194,E193-(C196/(100*C194)*C195)*E193,E193-E196),0)</f>
        <v>129106</v>
      </c>
      <c r="D211" s="77"/>
      <c r="E211" s="77"/>
      <c r="F211" s="112"/>
      <c r="I211" s="113"/>
      <c r="J211" s="113"/>
    </row>
    <row r="212" spans="1:10" x14ac:dyDescent="0.2">
      <c r="A212" s="74" t="s">
        <v>104</v>
      </c>
      <c r="B212" s="75" t="s">
        <v>27</v>
      </c>
      <c r="C212" s="77">
        <f>IFERROR(IF(C195&gt;=C194,C211,((((C211)-(E193-E196))*(((C194-C195)+1)/(2*(C194-C195))))+(E193-E196))),0)</f>
        <v>96757.200639999995</v>
      </c>
      <c r="D212" s="77"/>
      <c r="E212" s="77"/>
      <c r="F212" s="112"/>
      <c r="I212" s="113"/>
      <c r="J212" s="113"/>
    </row>
    <row r="213" spans="1:10" x14ac:dyDescent="0.2">
      <c r="A213" s="90" t="s">
        <v>105</v>
      </c>
      <c r="B213" s="118" t="s">
        <v>27</v>
      </c>
      <c r="C213" s="118"/>
      <c r="D213" s="91">
        <f>C210*C212/12/100</f>
        <v>1108.6762573333333</v>
      </c>
      <c r="E213" s="91">
        <f>D213</f>
        <v>1108.6762573333333</v>
      </c>
      <c r="F213" s="112"/>
      <c r="I213" s="113"/>
      <c r="J213" s="113"/>
    </row>
    <row r="214" spans="1:10" x14ac:dyDescent="0.2">
      <c r="A214" s="78" t="s">
        <v>94</v>
      </c>
      <c r="B214" s="79"/>
      <c r="C214" s="79"/>
      <c r="D214" s="80"/>
      <c r="E214" s="81">
        <f>E208+E213</f>
        <v>3420.7642333333333</v>
      </c>
      <c r="F214" s="112"/>
      <c r="I214" s="113"/>
      <c r="J214" s="113"/>
    </row>
    <row r="215" spans="1:10" x14ac:dyDescent="0.2">
      <c r="A215" s="90" t="s">
        <v>95</v>
      </c>
      <c r="B215" s="118" t="s">
        <v>55</v>
      </c>
      <c r="C215" s="75">
        <f>C199</f>
        <v>1</v>
      </c>
      <c r="D215" s="91">
        <f>E214</f>
        <v>3420.7642333333333</v>
      </c>
      <c r="E215" s="81">
        <f>C215*D215</f>
        <v>3420.7642333333333</v>
      </c>
      <c r="F215" s="112"/>
      <c r="I215" s="113"/>
      <c r="J215" s="113"/>
    </row>
    <row r="216" spans="1:10" x14ac:dyDescent="0.2">
      <c r="C216" s="121"/>
      <c r="D216" s="84" t="s">
        <v>34</v>
      </c>
      <c r="E216" s="85">
        <f>$B$52</f>
        <v>4.5400000000000003E-2</v>
      </c>
      <c r="F216" s="109">
        <f>E215*E216</f>
        <v>155.30269619333333</v>
      </c>
      <c r="I216" s="113"/>
      <c r="J216" s="113"/>
    </row>
    <row r="217" spans="1:10" ht="11.25" customHeight="1" x14ac:dyDescent="0.2">
      <c r="I217" s="113"/>
      <c r="J217" s="113"/>
    </row>
    <row r="218" spans="1:10" x14ac:dyDescent="0.2">
      <c r="A218" s="2" t="s">
        <v>106</v>
      </c>
      <c r="I218" s="113"/>
      <c r="J218" s="113"/>
    </row>
    <row r="219" spans="1:10" x14ac:dyDescent="0.2">
      <c r="A219" s="66" t="s">
        <v>16</v>
      </c>
      <c r="B219" s="67" t="s">
        <v>17</v>
      </c>
      <c r="C219" s="67" t="s">
        <v>10</v>
      </c>
      <c r="D219" s="68" t="s">
        <v>18</v>
      </c>
      <c r="E219" s="68" t="s">
        <v>19</v>
      </c>
      <c r="F219" s="69" t="s">
        <v>20</v>
      </c>
      <c r="I219" s="113"/>
      <c r="J219" s="113"/>
    </row>
    <row r="220" spans="1:10" x14ac:dyDescent="0.2">
      <c r="A220" s="70" t="s">
        <v>107</v>
      </c>
      <c r="B220" s="71" t="s">
        <v>55</v>
      </c>
      <c r="C220" s="73">
        <f>C199</f>
        <v>1</v>
      </c>
      <c r="D220" s="73">
        <f>0.01*($E$188)</f>
        <v>2692.44</v>
      </c>
      <c r="E220" s="73">
        <f>C220*D220</f>
        <v>2692.44</v>
      </c>
      <c r="I220" s="113"/>
      <c r="J220" s="113"/>
    </row>
    <row r="221" spans="1:10" x14ac:dyDescent="0.2">
      <c r="A221" s="74" t="s">
        <v>108</v>
      </c>
      <c r="B221" s="75" t="s">
        <v>55</v>
      </c>
      <c r="C221" s="73">
        <f>C199</f>
        <v>1</v>
      </c>
      <c r="D221" s="99">
        <v>94.1</v>
      </c>
      <c r="E221" s="77">
        <f>C221*D221</f>
        <v>94.1</v>
      </c>
      <c r="I221" s="113"/>
      <c r="J221" s="113"/>
    </row>
    <row r="222" spans="1:10" x14ac:dyDescent="0.2">
      <c r="A222" s="74" t="s">
        <v>109</v>
      </c>
      <c r="B222" s="75" t="s">
        <v>55</v>
      </c>
      <c r="C222" s="73">
        <f>C199</f>
        <v>1</v>
      </c>
      <c r="D222" s="99">
        <v>522.6</v>
      </c>
      <c r="E222" s="77">
        <f>C222*D222</f>
        <v>522.6</v>
      </c>
      <c r="F222" s="80"/>
      <c r="I222" s="113"/>
      <c r="J222" s="113"/>
    </row>
    <row r="223" spans="1:10" x14ac:dyDescent="0.2">
      <c r="A223" s="90" t="s">
        <v>110</v>
      </c>
      <c r="B223" s="118" t="s">
        <v>22</v>
      </c>
      <c r="C223" s="118">
        <v>12</v>
      </c>
      <c r="D223" s="91">
        <f>SUM(E220:E222)</f>
        <v>3309.14</v>
      </c>
      <c r="E223" s="91">
        <f>D223/C223</f>
        <v>275.76166666666666</v>
      </c>
      <c r="I223" s="113"/>
      <c r="J223" s="113"/>
    </row>
    <row r="224" spans="1:10" x14ac:dyDescent="0.2">
      <c r="D224" s="84" t="s">
        <v>34</v>
      </c>
      <c r="E224" s="85">
        <f>$B$52</f>
        <v>4.5400000000000003E-2</v>
      </c>
      <c r="F224" s="86">
        <f>E223*E224</f>
        <v>12.519579666666667</v>
      </c>
      <c r="I224" s="113"/>
      <c r="J224" s="113"/>
    </row>
    <row r="225" spans="1:10" ht="11.25" customHeight="1" x14ac:dyDescent="0.2">
      <c r="I225" s="113"/>
      <c r="J225" s="113"/>
    </row>
    <row r="226" spans="1:10" x14ac:dyDescent="0.2">
      <c r="A226" s="2" t="s">
        <v>111</v>
      </c>
      <c r="B226" s="122"/>
      <c r="I226" s="113"/>
      <c r="J226" s="113"/>
    </row>
    <row r="227" spans="1:10" x14ac:dyDescent="0.2">
      <c r="B227" s="122"/>
      <c r="I227" s="113"/>
      <c r="J227" s="113"/>
    </row>
    <row r="228" spans="1:10" ht="27.75" customHeight="1" x14ac:dyDescent="0.2">
      <c r="A228" s="123" t="s">
        <v>112</v>
      </c>
      <c r="B228" s="124">
        <v>244.45</v>
      </c>
      <c r="E228" s="125"/>
      <c r="F228" s="125"/>
      <c r="I228" s="113"/>
      <c r="J228" s="113"/>
    </row>
    <row r="229" spans="1:10" x14ac:dyDescent="0.2">
      <c r="B229" s="122"/>
      <c r="I229" s="113"/>
      <c r="J229" s="113"/>
    </row>
    <row r="230" spans="1:10" x14ac:dyDescent="0.2">
      <c r="A230" s="66" t="s">
        <v>16</v>
      </c>
      <c r="B230" s="67" t="s">
        <v>17</v>
      </c>
      <c r="C230" s="67" t="s">
        <v>113</v>
      </c>
      <c r="D230" s="68" t="s">
        <v>18</v>
      </c>
      <c r="E230" s="68" t="s">
        <v>19</v>
      </c>
      <c r="F230" s="69" t="s">
        <v>20</v>
      </c>
      <c r="I230" s="113"/>
      <c r="J230" s="113"/>
    </row>
    <row r="231" spans="1:10" x14ac:dyDescent="0.2">
      <c r="A231" s="70" t="s">
        <v>114</v>
      </c>
      <c r="B231" s="71" t="s">
        <v>115</v>
      </c>
      <c r="C231" s="126">
        <v>4</v>
      </c>
      <c r="D231" s="127">
        <v>5.58</v>
      </c>
      <c r="E231" s="73"/>
      <c r="I231" s="113"/>
      <c r="J231" s="113"/>
    </row>
    <row r="232" spans="1:10" x14ac:dyDescent="0.2">
      <c r="A232" s="74" t="s">
        <v>116</v>
      </c>
      <c r="B232" s="75" t="s">
        <v>117</v>
      </c>
      <c r="C232" s="95">
        <f>B228</f>
        <v>244.45</v>
      </c>
      <c r="D232" s="128">
        <f>IFERROR(+D231/C231,"-")</f>
        <v>1.395</v>
      </c>
      <c r="E232" s="77">
        <f>IFERROR(C232*D232,"-")</f>
        <v>341.00774999999999</v>
      </c>
      <c r="I232" s="113"/>
      <c r="J232" s="113"/>
    </row>
    <row r="233" spans="1:10" x14ac:dyDescent="0.2">
      <c r="A233" s="74" t="s">
        <v>118</v>
      </c>
      <c r="B233" s="75" t="s">
        <v>119</v>
      </c>
      <c r="C233" s="129">
        <v>5</v>
      </c>
      <c r="D233" s="99">
        <v>27.5</v>
      </c>
      <c r="E233" s="77"/>
      <c r="I233" s="113"/>
      <c r="J233" s="113"/>
    </row>
    <row r="234" spans="1:10" x14ac:dyDescent="0.2">
      <c r="A234" s="74" t="s">
        <v>120</v>
      </c>
      <c r="B234" s="75" t="s">
        <v>117</v>
      </c>
      <c r="C234" s="95">
        <f>C232</f>
        <v>244.45</v>
      </c>
      <c r="D234" s="130">
        <f>+C233*D233/1000</f>
        <v>0.13750000000000001</v>
      </c>
      <c r="E234" s="77">
        <f>C234*D234</f>
        <v>33.611874999999998</v>
      </c>
      <c r="I234" s="113"/>
      <c r="J234" s="113"/>
    </row>
    <row r="235" spans="1:10" x14ac:dyDescent="0.2">
      <c r="A235" s="74" t="s">
        <v>121</v>
      </c>
      <c r="B235" s="75" t="s">
        <v>119</v>
      </c>
      <c r="C235" s="129">
        <v>5</v>
      </c>
      <c r="D235" s="99">
        <v>30</v>
      </c>
      <c r="E235" s="77"/>
      <c r="I235" s="113"/>
      <c r="J235" s="113"/>
    </row>
    <row r="236" spans="1:10" x14ac:dyDescent="0.2">
      <c r="A236" s="74" t="s">
        <v>122</v>
      </c>
      <c r="B236" s="75" t="s">
        <v>117</v>
      </c>
      <c r="C236" s="95">
        <f>C232</f>
        <v>244.45</v>
      </c>
      <c r="D236" s="131">
        <f>+C235*D235/1000</f>
        <v>0.15</v>
      </c>
      <c r="E236" s="77">
        <f>C236*D236</f>
        <v>36.667499999999997</v>
      </c>
      <c r="I236" s="113"/>
      <c r="J236" s="113"/>
    </row>
    <row r="237" spans="1:10" x14ac:dyDescent="0.2">
      <c r="A237" s="74" t="s">
        <v>123</v>
      </c>
      <c r="B237" s="75" t="s">
        <v>119</v>
      </c>
      <c r="C237" s="129">
        <v>1</v>
      </c>
      <c r="D237" s="99">
        <v>14.7</v>
      </c>
      <c r="E237" s="77"/>
      <c r="I237" s="113"/>
      <c r="J237" s="113"/>
    </row>
    <row r="238" spans="1:10" x14ac:dyDescent="0.2">
      <c r="A238" s="74" t="s">
        <v>124</v>
      </c>
      <c r="B238" s="75" t="s">
        <v>117</v>
      </c>
      <c r="C238" s="95">
        <f>C232</f>
        <v>244.45</v>
      </c>
      <c r="D238" s="131">
        <f>+C237*D237/1000</f>
        <v>1.47E-2</v>
      </c>
      <c r="E238" s="77">
        <f>C238*D238</f>
        <v>3.5934149999999998</v>
      </c>
      <c r="I238" s="113"/>
      <c r="J238" s="113"/>
    </row>
    <row r="239" spans="1:10" x14ac:dyDescent="0.2">
      <c r="A239" s="74" t="s">
        <v>125</v>
      </c>
      <c r="B239" s="75" t="s">
        <v>126</v>
      </c>
      <c r="C239" s="129">
        <v>2.5</v>
      </c>
      <c r="D239" s="99">
        <v>29.35</v>
      </c>
      <c r="E239" s="77"/>
      <c r="I239" s="113"/>
      <c r="J239" s="113"/>
    </row>
    <row r="240" spans="1:10" x14ac:dyDescent="0.2">
      <c r="A240" s="74" t="s">
        <v>127</v>
      </c>
      <c r="B240" s="75" t="s">
        <v>117</v>
      </c>
      <c r="C240" s="95">
        <f>C232</f>
        <v>244.45</v>
      </c>
      <c r="D240" s="131">
        <f>+C239*D239/1000</f>
        <v>7.3374999999999996E-2</v>
      </c>
      <c r="E240" s="77">
        <f>C240*D240</f>
        <v>17.936518749999998</v>
      </c>
      <c r="I240" s="113"/>
      <c r="J240" s="113"/>
    </row>
    <row r="241" spans="1:10" x14ac:dyDescent="0.2">
      <c r="A241" s="90" t="s">
        <v>128</v>
      </c>
      <c r="B241" s="118" t="s">
        <v>129</v>
      </c>
      <c r="C241" s="132"/>
      <c r="D241" s="133">
        <f>IFERROR(D232+D234+D236+D238+D240,0)</f>
        <v>1.7705749999999998</v>
      </c>
      <c r="E241" s="77"/>
      <c r="I241" s="113"/>
      <c r="J241" s="113"/>
    </row>
    <row r="242" spans="1:10" x14ac:dyDescent="0.2">
      <c r="F242" s="109">
        <f>SUM(E231:E240)</f>
        <v>432.81705875</v>
      </c>
      <c r="I242" s="113"/>
      <c r="J242" s="113"/>
    </row>
    <row r="243" spans="1:10" ht="11.25" customHeight="1" x14ac:dyDescent="0.2">
      <c r="I243" s="113"/>
      <c r="J243" s="113"/>
    </row>
    <row r="244" spans="1:10" x14ac:dyDescent="0.2">
      <c r="A244" s="2" t="s">
        <v>130</v>
      </c>
      <c r="I244" s="113"/>
      <c r="J244" s="113"/>
    </row>
    <row r="245" spans="1:10" x14ac:dyDescent="0.2">
      <c r="A245" s="66" t="s">
        <v>16</v>
      </c>
      <c r="B245" s="67" t="s">
        <v>17</v>
      </c>
      <c r="C245" s="67" t="s">
        <v>10</v>
      </c>
      <c r="D245" s="68" t="s">
        <v>18</v>
      </c>
      <c r="E245" s="68" t="s">
        <v>19</v>
      </c>
      <c r="F245" s="69" t="s">
        <v>20</v>
      </c>
      <c r="I245" s="113"/>
      <c r="J245" s="113"/>
    </row>
    <row r="246" spans="1:10" x14ac:dyDescent="0.2">
      <c r="A246" s="70" t="s">
        <v>131</v>
      </c>
      <c r="B246" s="71" t="s">
        <v>129</v>
      </c>
      <c r="C246" s="95">
        <f>C232</f>
        <v>244.45</v>
      </c>
      <c r="D246" s="72">
        <v>0.74</v>
      </c>
      <c r="E246" s="73">
        <f>C246*D246</f>
        <v>180.893</v>
      </c>
      <c r="I246" s="113"/>
      <c r="J246" s="113"/>
    </row>
    <row r="247" spans="1:10" x14ac:dyDescent="0.2">
      <c r="F247" s="109">
        <f>E246</f>
        <v>180.893</v>
      </c>
      <c r="I247" s="113"/>
      <c r="J247" s="113"/>
    </row>
    <row r="248" spans="1:10" ht="11.25" customHeight="1" x14ac:dyDescent="0.2">
      <c r="I248" s="113"/>
      <c r="J248" s="113"/>
    </row>
    <row r="249" spans="1:10" x14ac:dyDescent="0.2">
      <c r="A249" s="2" t="s">
        <v>132</v>
      </c>
      <c r="I249" s="113"/>
      <c r="J249" s="113"/>
    </row>
    <row r="250" spans="1:10" x14ac:dyDescent="0.2">
      <c r="A250" s="66" t="s">
        <v>16</v>
      </c>
      <c r="B250" s="67" t="s">
        <v>17</v>
      </c>
      <c r="C250" s="67" t="s">
        <v>10</v>
      </c>
      <c r="D250" s="68" t="s">
        <v>18</v>
      </c>
      <c r="E250" s="68" t="s">
        <v>19</v>
      </c>
      <c r="F250" s="69" t="s">
        <v>20</v>
      </c>
      <c r="I250" s="113"/>
      <c r="J250" s="113"/>
    </row>
    <row r="251" spans="1:10" x14ac:dyDescent="0.2">
      <c r="A251" s="70" t="s">
        <v>133</v>
      </c>
      <c r="B251" s="71" t="s">
        <v>55</v>
      </c>
      <c r="C251" s="134">
        <v>6</v>
      </c>
      <c r="D251" s="72">
        <v>2200</v>
      </c>
      <c r="E251" s="73">
        <f>C251*D251</f>
        <v>13200</v>
      </c>
      <c r="I251" s="113"/>
      <c r="J251" s="113"/>
    </row>
    <row r="252" spans="1:10" x14ac:dyDescent="0.2">
      <c r="A252" s="70" t="s">
        <v>134</v>
      </c>
      <c r="B252" s="71" t="s">
        <v>55</v>
      </c>
      <c r="C252" s="134">
        <v>1</v>
      </c>
      <c r="D252" s="73"/>
      <c r="E252" s="73"/>
      <c r="I252" s="113"/>
      <c r="J252" s="113"/>
    </row>
    <row r="253" spans="1:10" x14ac:dyDescent="0.2">
      <c r="A253" s="70" t="s">
        <v>135</v>
      </c>
      <c r="B253" s="71" t="s">
        <v>55</v>
      </c>
      <c r="C253" s="73">
        <f>C251*C252</f>
        <v>6</v>
      </c>
      <c r="D253" s="72">
        <v>457</v>
      </c>
      <c r="E253" s="73">
        <f>C253*D253</f>
        <v>2742</v>
      </c>
      <c r="I253" s="113"/>
      <c r="J253" s="113"/>
    </row>
    <row r="254" spans="1:10" x14ac:dyDescent="0.2">
      <c r="A254" s="74" t="s">
        <v>136</v>
      </c>
      <c r="B254" s="75" t="s">
        <v>137</v>
      </c>
      <c r="C254" s="135">
        <v>30000</v>
      </c>
      <c r="D254" s="77">
        <f>E251+E253</f>
        <v>15942</v>
      </c>
      <c r="E254" s="77">
        <f>IFERROR(D254/C254,"-")</f>
        <v>0.53139999999999998</v>
      </c>
      <c r="I254" s="113"/>
      <c r="J254" s="113"/>
    </row>
    <row r="255" spans="1:10" x14ac:dyDescent="0.2">
      <c r="A255" s="74" t="s">
        <v>138</v>
      </c>
      <c r="B255" s="75" t="s">
        <v>117</v>
      </c>
      <c r="C255" s="95">
        <f>B228</f>
        <v>244.45</v>
      </c>
      <c r="D255" s="77">
        <f>E254</f>
        <v>0.53139999999999998</v>
      </c>
      <c r="E255" s="77">
        <f>IFERROR(C255*D255,0)</f>
        <v>129.90072999999998</v>
      </c>
      <c r="I255" s="113"/>
      <c r="J255" s="113"/>
    </row>
    <row r="256" spans="1:10" x14ac:dyDescent="0.2">
      <c r="F256" s="109">
        <f>E255</f>
        <v>129.90072999999998</v>
      </c>
      <c r="I256" s="113"/>
      <c r="J256" s="113"/>
    </row>
    <row r="257" spans="1:10" ht="11.25" customHeight="1" x14ac:dyDescent="0.2">
      <c r="I257" s="113"/>
      <c r="J257" s="113"/>
    </row>
    <row r="258" spans="1:10" ht="11.25" customHeight="1" x14ac:dyDescent="0.2">
      <c r="G258" s="2"/>
    </row>
    <row r="259" spans="1:10" x14ac:dyDescent="0.2">
      <c r="A259" s="100" t="s">
        <v>139</v>
      </c>
      <c r="B259" s="101"/>
      <c r="C259" s="101"/>
      <c r="D259" s="41"/>
      <c r="E259" s="102"/>
      <c r="F259" s="109">
        <f>+SUM(F188:F258)</f>
        <v>995.34788220999997</v>
      </c>
      <c r="G259" s="2"/>
    </row>
    <row r="260" spans="1:10" ht="11.25" customHeight="1" x14ac:dyDescent="0.2">
      <c r="G260" s="2"/>
    </row>
    <row r="261" spans="1:10" x14ac:dyDescent="0.2">
      <c r="A261" s="27" t="s">
        <v>140</v>
      </c>
      <c r="B261" s="27"/>
      <c r="C261" s="27"/>
      <c r="D261" s="26"/>
      <c r="E261" s="26"/>
      <c r="F261" s="80"/>
      <c r="G261" s="2"/>
    </row>
    <row r="262" spans="1:10" ht="11.25" customHeight="1" x14ac:dyDescent="0.2">
      <c r="G262" s="2"/>
    </row>
    <row r="263" spans="1:10" x14ac:dyDescent="0.2">
      <c r="A263" s="66" t="s">
        <v>16</v>
      </c>
      <c r="B263" s="67" t="s">
        <v>17</v>
      </c>
      <c r="C263" s="67" t="s">
        <v>10</v>
      </c>
      <c r="D263" s="68" t="s">
        <v>18</v>
      </c>
      <c r="E263" s="68" t="s">
        <v>19</v>
      </c>
      <c r="F263" s="69" t="s">
        <v>20</v>
      </c>
      <c r="G263" s="2"/>
    </row>
    <row r="264" spans="1:10" x14ac:dyDescent="0.2">
      <c r="A264" s="74" t="s">
        <v>141</v>
      </c>
      <c r="B264" s="75" t="s">
        <v>55</v>
      </c>
      <c r="C264" s="104">
        <v>0.16666666666666699</v>
      </c>
      <c r="D264" s="72">
        <v>70</v>
      </c>
      <c r="E264" s="77">
        <f>C264*D264</f>
        <v>11.666666666666689</v>
      </c>
      <c r="F264" s="112"/>
      <c r="G264" s="2"/>
    </row>
    <row r="265" spans="1:10" x14ac:dyDescent="0.2">
      <c r="A265" s="74" t="s">
        <v>142</v>
      </c>
      <c r="B265" s="75" t="s">
        <v>55</v>
      </c>
      <c r="C265" s="104">
        <v>0.16666666666666699</v>
      </c>
      <c r="D265" s="72">
        <v>65</v>
      </c>
      <c r="E265" s="77">
        <f>C265*D265</f>
        <v>10.833333333333355</v>
      </c>
      <c r="F265" s="112"/>
      <c r="G265" s="2"/>
    </row>
    <row r="266" spans="1:10" x14ac:dyDescent="0.2">
      <c r="A266" s="74" t="s">
        <v>143</v>
      </c>
      <c r="B266" s="75" t="s">
        <v>55</v>
      </c>
      <c r="C266" s="104">
        <v>0.16666666666666699</v>
      </c>
      <c r="D266" s="72">
        <v>35.03</v>
      </c>
      <c r="E266" s="77">
        <f>C266*D266</f>
        <v>5.8383333333333445</v>
      </c>
      <c r="F266" s="112"/>
      <c r="G266" s="2"/>
    </row>
    <row r="267" spans="1:10" x14ac:dyDescent="0.2">
      <c r="A267" s="74" t="s">
        <v>144</v>
      </c>
      <c r="B267" s="75" t="s">
        <v>145</v>
      </c>
      <c r="C267" s="104">
        <v>8.3333333333333301E-2</v>
      </c>
      <c r="D267" s="72">
        <v>156</v>
      </c>
      <c r="E267" s="77">
        <f>C267*D267</f>
        <v>12.999999999999995</v>
      </c>
      <c r="F267" s="112"/>
      <c r="G267" s="2"/>
    </row>
    <row r="268" spans="1:10" x14ac:dyDescent="0.2">
      <c r="A268" s="74" t="s">
        <v>146</v>
      </c>
      <c r="B268" s="75" t="s">
        <v>145</v>
      </c>
      <c r="C268" s="104">
        <v>8.3333333333333301E-2</v>
      </c>
      <c r="D268" s="72">
        <v>3900</v>
      </c>
      <c r="E268" s="77">
        <f>C268*D268</f>
        <v>324.99999999999989</v>
      </c>
      <c r="F268" s="112"/>
      <c r="G268" s="2"/>
    </row>
    <row r="269" spans="1:10" x14ac:dyDescent="0.2">
      <c r="A269" s="27"/>
      <c r="B269" s="27"/>
      <c r="C269" s="27"/>
      <c r="D269" s="27"/>
      <c r="E269" s="26"/>
      <c r="F269" s="109">
        <f>SUM(E264:E268)</f>
        <v>366.33833333333325</v>
      </c>
      <c r="G269" s="2"/>
    </row>
    <row r="270" spans="1:10" ht="11.25" customHeight="1" x14ac:dyDescent="0.2">
      <c r="G270" s="2"/>
    </row>
    <row r="271" spans="1:10" x14ac:dyDescent="0.2">
      <c r="A271" s="100" t="s">
        <v>147</v>
      </c>
      <c r="B271" s="101"/>
      <c r="C271" s="101"/>
      <c r="D271" s="41"/>
      <c r="E271" s="102"/>
      <c r="F271" s="109">
        <f>+F269</f>
        <v>366.33833333333325</v>
      </c>
      <c r="G271" s="2"/>
    </row>
    <row r="272" spans="1:10" ht="11.25" customHeight="1" x14ac:dyDescent="0.2">
      <c r="G272" s="2"/>
    </row>
    <row r="273" spans="1:7" x14ac:dyDescent="0.2">
      <c r="A273" s="27" t="s">
        <v>148</v>
      </c>
      <c r="B273" s="27"/>
      <c r="C273" s="27"/>
      <c r="D273" s="26"/>
      <c r="E273" s="26"/>
      <c r="F273" s="80"/>
    </row>
    <row r="274" spans="1:7" ht="11.25" customHeight="1" x14ac:dyDescent="0.2"/>
    <row r="275" spans="1:7" x14ac:dyDescent="0.2">
      <c r="A275" s="66" t="s">
        <v>16</v>
      </c>
      <c r="B275" s="67" t="s">
        <v>17</v>
      </c>
      <c r="C275" s="67" t="s">
        <v>10</v>
      </c>
      <c r="D275" s="68" t="s">
        <v>18</v>
      </c>
      <c r="E275" s="68" t="s">
        <v>19</v>
      </c>
      <c r="F275" s="69" t="s">
        <v>20</v>
      </c>
    </row>
    <row r="276" spans="1:7" ht="25.5" x14ac:dyDescent="0.2">
      <c r="A276" s="136" t="s">
        <v>149</v>
      </c>
      <c r="B276" s="137" t="s">
        <v>22</v>
      </c>
      <c r="C276" s="105">
        <f>C188</f>
        <v>1</v>
      </c>
      <c r="D276" s="99">
        <v>617.66</v>
      </c>
      <c r="E276" s="77">
        <f>+D276*C276</f>
        <v>617.66</v>
      </c>
      <c r="F276" s="112"/>
    </row>
    <row r="277" spans="1:7" x14ac:dyDescent="0.2">
      <c r="A277" s="74" t="s">
        <v>150</v>
      </c>
      <c r="B277" s="137" t="s">
        <v>22</v>
      </c>
      <c r="C277" s="75">
        <v>1</v>
      </c>
      <c r="D277" s="138">
        <f>SUM(E276:E276)</f>
        <v>617.66</v>
      </c>
      <c r="E277" s="138">
        <f>+D277/C277</f>
        <v>617.66</v>
      </c>
      <c r="F277" s="112"/>
    </row>
    <row r="278" spans="1:7" x14ac:dyDescent="0.2">
      <c r="A278" s="88"/>
      <c r="B278" s="88"/>
      <c r="C278" s="88"/>
      <c r="D278" s="84" t="s">
        <v>34</v>
      </c>
      <c r="E278" s="85">
        <f>$B$52</f>
        <v>4.5400000000000003E-2</v>
      </c>
      <c r="F278" s="109">
        <f>E277*E278</f>
        <v>28.041764000000001</v>
      </c>
    </row>
    <row r="279" spans="1:7" s="140" customFormat="1" ht="11.25" customHeight="1" x14ac:dyDescent="0.2">
      <c r="A279" s="2"/>
      <c r="B279" s="2"/>
      <c r="C279" s="2"/>
      <c r="D279" s="3"/>
      <c r="E279" s="3"/>
      <c r="F279" s="3"/>
      <c r="G279" s="139"/>
    </row>
    <row r="280" spans="1:7" x14ac:dyDescent="0.2">
      <c r="A280" s="100" t="s">
        <v>151</v>
      </c>
      <c r="B280" s="101"/>
      <c r="C280" s="101"/>
      <c r="D280" s="41"/>
      <c r="E280" s="102"/>
      <c r="F280" s="109">
        <f>+F278</f>
        <v>28.041764000000001</v>
      </c>
    </row>
    <row r="281" spans="1:7" ht="11.25" customHeight="1" x14ac:dyDescent="0.2"/>
    <row r="282" spans="1:7" ht="17.25" customHeight="1" x14ac:dyDescent="0.2">
      <c r="A282" s="100" t="s">
        <v>152</v>
      </c>
      <c r="B282" s="106"/>
      <c r="C282" s="106"/>
      <c r="D282" s="107"/>
      <c r="E282" s="108"/>
      <c r="F282" s="98">
        <f>+F144+F180+F259+F271+F280</f>
        <v>1942.3659104062399</v>
      </c>
    </row>
    <row r="283" spans="1:7" ht="11.25" customHeight="1" x14ac:dyDescent="0.2"/>
    <row r="284" spans="1:7" ht="11.25" customHeight="1" x14ac:dyDescent="0.2"/>
    <row r="285" spans="1:7" x14ac:dyDescent="0.2">
      <c r="A285" s="27" t="s">
        <v>153</v>
      </c>
    </row>
    <row r="286" spans="1:7" ht="11.25" customHeight="1" x14ac:dyDescent="0.2"/>
    <row r="287" spans="1:7" x14ac:dyDescent="0.2">
      <c r="A287" s="66" t="s">
        <v>16</v>
      </c>
      <c r="B287" s="67" t="s">
        <v>17</v>
      </c>
      <c r="C287" s="67" t="s">
        <v>10</v>
      </c>
      <c r="D287" s="68" t="s">
        <v>18</v>
      </c>
      <c r="E287" s="68" t="s">
        <v>19</v>
      </c>
      <c r="F287" s="69" t="s">
        <v>20</v>
      </c>
    </row>
    <row r="288" spans="1:7" x14ac:dyDescent="0.2">
      <c r="A288" s="70" t="s">
        <v>154</v>
      </c>
      <c r="B288" s="71" t="s">
        <v>6</v>
      </c>
      <c r="C288" s="141">
        <f>'4.BDI'!C20</f>
        <v>0.23769999999999999</v>
      </c>
      <c r="D288" s="73">
        <f>+F282</f>
        <v>1942.3659104062399</v>
      </c>
      <c r="E288" s="73">
        <f>C288*D288/100</f>
        <v>4.617003769035632</v>
      </c>
    </row>
    <row r="289" spans="1:10" x14ac:dyDescent="0.2">
      <c r="F289" s="109">
        <f>+E288</f>
        <v>4.617003769035632</v>
      </c>
    </row>
    <row r="290" spans="1:10" ht="11.25" customHeight="1" x14ac:dyDescent="0.2"/>
    <row r="291" spans="1:10" x14ac:dyDescent="0.2">
      <c r="A291" s="100" t="s">
        <v>155</v>
      </c>
      <c r="B291" s="106"/>
      <c r="C291" s="106"/>
      <c r="D291" s="107"/>
      <c r="E291" s="108"/>
      <c r="F291" s="98">
        <f>F289</f>
        <v>4.617003769035632</v>
      </c>
    </row>
    <row r="292" spans="1:10" x14ac:dyDescent="0.2">
      <c r="A292" s="27"/>
      <c r="B292" s="27"/>
      <c r="C292" s="27"/>
      <c r="D292" s="26"/>
      <c r="E292" s="26"/>
      <c r="F292" s="80"/>
    </row>
    <row r="293" spans="1:10" ht="11.25" customHeight="1" x14ac:dyDescent="0.2"/>
    <row r="294" spans="1:10" ht="24.75" customHeight="1" x14ac:dyDescent="0.2">
      <c r="A294" s="100" t="s">
        <v>156</v>
      </c>
      <c r="B294" s="106"/>
      <c r="C294" s="106"/>
      <c r="D294" s="107"/>
      <c r="E294" s="108"/>
      <c r="F294" s="142">
        <f>F282+F291</f>
        <v>1946.9829141752755</v>
      </c>
    </row>
    <row r="295" spans="1:10" ht="12" customHeight="1" x14ac:dyDescent="0.2">
      <c r="A295" s="121" t="s">
        <v>157</v>
      </c>
      <c r="B295" s="4"/>
      <c r="C295" s="4"/>
      <c r="D295" s="143"/>
      <c r="E295" s="143"/>
      <c r="F295" s="143"/>
    </row>
    <row r="296" spans="1:10" ht="14.25" x14ac:dyDescent="0.2">
      <c r="A296" s="13"/>
      <c r="B296" s="13"/>
      <c r="C296" s="13"/>
      <c r="D296" s="12"/>
      <c r="E296" s="12"/>
    </row>
    <row r="297" spans="1:10" s="7" customFormat="1" ht="12" customHeight="1" x14ac:dyDescent="0.2">
      <c r="A297" s="144" t="s">
        <v>158</v>
      </c>
      <c r="B297" s="27"/>
      <c r="C297" s="27"/>
      <c r="D297" s="26"/>
      <c r="E297" s="26"/>
      <c r="F297" s="26"/>
      <c r="G297" s="3"/>
      <c r="H297" s="2"/>
      <c r="I297" s="2"/>
      <c r="J297" s="2"/>
    </row>
    <row r="298" spans="1:10" s="7" customFormat="1" ht="14.1" customHeight="1" x14ac:dyDescent="0.2">
      <c r="A298" s="121" t="s">
        <v>159</v>
      </c>
      <c r="B298" s="3"/>
      <c r="C298" s="26"/>
      <c r="D298" s="3"/>
      <c r="E298" s="3"/>
      <c r="F298" s="145"/>
      <c r="G298" s="9"/>
    </row>
    <row r="299" spans="1:10" x14ac:dyDescent="0.2">
      <c r="A299" s="121" t="s">
        <v>160</v>
      </c>
      <c r="B299" s="3"/>
      <c r="C299" s="3"/>
      <c r="G299" s="9"/>
      <c r="H299" s="7"/>
      <c r="I299" s="7"/>
      <c r="J299" s="7"/>
    </row>
    <row r="300" spans="1:10" x14ac:dyDescent="0.2">
      <c r="A300"/>
    </row>
    <row r="329" s="2" customFormat="1" ht="9" customHeight="1" x14ac:dyDescent="0.2"/>
  </sheetData>
  <mergeCells count="8">
    <mergeCell ref="A41:D41"/>
    <mergeCell ref="A48:D48"/>
    <mergeCell ref="A49:D49"/>
    <mergeCell ref="A11:F11"/>
    <mergeCell ref="A12:F12"/>
    <mergeCell ref="A14:F14"/>
    <mergeCell ref="A24:C24"/>
    <mergeCell ref="A40:E40"/>
  </mergeCells>
  <hyperlinks>
    <hyperlink ref="A186" location="AbaDeprec" display="3.1.1. Depreciação" xr:uid="{00000000-0004-0000-0000-000000000000}"/>
    <hyperlink ref="A202" location="AbaRemun" display="3.1.2. Remuneração do Capital" xr:uid="{00000000-0004-0000-0000-000001000000}"/>
  </hyperlinks>
  <pageMargins left="1.10208333333333" right="0.70833333333333304" top="0" bottom="0.74791666666666701" header="0.511811023622047" footer="0.31527777777777799"/>
  <pageSetup paperSize="9" scale="72" fitToHeight="0" orientation="portrait" horizontalDpi="300" verticalDpi="300" r:id="rId1"/>
  <headerFooter>
    <oddFooter>&amp;R&amp;P de &amp;N</oddFooter>
  </headerFooter>
  <rowBreaks count="4" manualBreakCount="4">
    <brk id="53" max="16383" man="1"/>
    <brk id="123" max="16383" man="1"/>
    <brk id="181" max="16383" man="1"/>
    <brk id="24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9"/>
  <sheetViews>
    <sheetView view="pageBreakPreview" zoomScaleNormal="100" workbookViewId="0">
      <selection activeCell="E34" sqref="E34"/>
    </sheetView>
  </sheetViews>
  <sheetFormatPr defaultColWidth="9.140625" defaultRowHeight="12.75" x14ac:dyDescent="0.2"/>
  <cols>
    <col min="1" max="1" width="13.5703125" style="146" customWidth="1"/>
    <col min="2" max="2" width="39.5703125" style="146" customWidth="1"/>
    <col min="3" max="3" width="14.5703125" style="146" customWidth="1"/>
    <col min="4" max="4" width="37.28515625" style="146" customWidth="1"/>
    <col min="5" max="10" width="9.140625" style="146"/>
    <col min="11" max="11" width="11" style="146" customWidth="1"/>
    <col min="12" max="16384" width="9.140625" style="146"/>
  </cols>
  <sheetData>
    <row r="1" spans="1:7" x14ac:dyDescent="0.2">
      <c r="A1" s="27"/>
    </row>
    <row r="2" spans="1:7" x14ac:dyDescent="0.2">
      <c r="A2" s="147"/>
    </row>
    <row r="3" spans="1:7" s="7" customFormat="1" ht="15" customHeight="1" x14ac:dyDescent="0.2">
      <c r="B3" s="8"/>
      <c r="C3" s="8"/>
      <c r="D3" s="8"/>
      <c r="E3" s="8"/>
      <c r="F3" s="8"/>
      <c r="G3" s="9"/>
    </row>
    <row r="4" spans="1:7" s="7" customFormat="1" ht="15" customHeight="1" x14ac:dyDescent="0.2">
      <c r="A4" s="5"/>
      <c r="B4" s="8"/>
      <c r="C4" s="8"/>
      <c r="D4" s="8"/>
      <c r="E4" s="8"/>
      <c r="F4" s="8"/>
      <c r="G4" s="9"/>
    </row>
    <row r="5" spans="1:7" s="7" customFormat="1" ht="16.5" customHeight="1" x14ac:dyDescent="0.2">
      <c r="A5" s="5"/>
      <c r="B5" s="148" t="s">
        <v>161</v>
      </c>
      <c r="C5" s="8"/>
      <c r="D5" s="9"/>
      <c r="E5" s="9"/>
      <c r="F5" s="9"/>
      <c r="G5" s="9"/>
    </row>
    <row r="6" spans="1:7" x14ac:dyDescent="0.2">
      <c r="B6" s="2" t="s">
        <v>0</v>
      </c>
    </row>
    <row r="7" spans="1:7" ht="18" x14ac:dyDescent="0.2">
      <c r="A7" s="272" t="s">
        <v>162</v>
      </c>
      <c r="B7" s="272"/>
      <c r="C7" s="272"/>
      <c r="D7" s="149"/>
      <c r="E7" s="149"/>
      <c r="F7" s="149"/>
    </row>
    <row r="8" spans="1:7" ht="14.25" x14ac:dyDescent="0.2">
      <c r="A8" s="150" t="s">
        <v>163</v>
      </c>
      <c r="B8" s="151" t="s">
        <v>164</v>
      </c>
      <c r="C8" s="152" t="s">
        <v>165</v>
      </c>
      <c r="D8" s="153"/>
    </row>
    <row r="9" spans="1:7" ht="14.25" x14ac:dyDescent="0.2">
      <c r="A9" s="150" t="s">
        <v>166</v>
      </c>
      <c r="B9" s="151" t="s">
        <v>167</v>
      </c>
      <c r="C9" s="154">
        <v>0.2</v>
      </c>
      <c r="D9" s="153"/>
    </row>
    <row r="10" spans="1:7" ht="14.25" x14ac:dyDescent="0.2">
      <c r="A10" s="150" t="s">
        <v>168</v>
      </c>
      <c r="B10" s="151" t="s">
        <v>169</v>
      </c>
      <c r="C10" s="154">
        <v>1.4999999999999999E-2</v>
      </c>
      <c r="D10" s="153"/>
    </row>
    <row r="11" spans="1:7" ht="14.25" x14ac:dyDescent="0.2">
      <c r="A11" s="150" t="s">
        <v>170</v>
      </c>
      <c r="B11" s="151" t="s">
        <v>171</v>
      </c>
      <c r="C11" s="154">
        <v>0.01</v>
      </c>
      <c r="D11" s="153"/>
    </row>
    <row r="12" spans="1:7" ht="14.25" x14ac:dyDescent="0.2">
      <c r="A12" s="150" t="s">
        <v>172</v>
      </c>
      <c r="B12" s="151" t="s">
        <v>173</v>
      </c>
      <c r="C12" s="154">
        <v>2E-3</v>
      </c>
      <c r="D12" s="153"/>
    </row>
    <row r="13" spans="1:7" ht="14.25" x14ac:dyDescent="0.2">
      <c r="A13" s="150" t="s">
        <v>174</v>
      </c>
      <c r="B13" s="151" t="s">
        <v>175</v>
      </c>
      <c r="C13" s="154">
        <v>6.0000000000000001E-3</v>
      </c>
      <c r="D13" s="153"/>
    </row>
    <row r="14" spans="1:7" ht="14.25" x14ac:dyDescent="0.2">
      <c r="A14" s="150" t="s">
        <v>176</v>
      </c>
      <c r="B14" s="151" t="s">
        <v>177</v>
      </c>
      <c r="C14" s="154">
        <v>2.5000000000000001E-2</v>
      </c>
      <c r="D14" s="153"/>
    </row>
    <row r="15" spans="1:7" ht="14.25" x14ac:dyDescent="0.2">
      <c r="A15" s="150" t="s">
        <v>178</v>
      </c>
      <c r="B15" s="151" t="s">
        <v>179</v>
      </c>
      <c r="C15" s="154">
        <v>0.03</v>
      </c>
      <c r="D15" s="153"/>
    </row>
    <row r="16" spans="1:7" ht="14.25" x14ac:dyDescent="0.2">
      <c r="A16" s="150" t="s">
        <v>180</v>
      </c>
      <c r="B16" s="151" t="s">
        <v>181</v>
      </c>
      <c r="C16" s="154">
        <v>0.08</v>
      </c>
      <c r="D16" s="153"/>
    </row>
    <row r="17" spans="1:8" ht="15" x14ac:dyDescent="0.2">
      <c r="A17" s="150" t="s">
        <v>182</v>
      </c>
      <c r="B17" s="155" t="s">
        <v>183</v>
      </c>
      <c r="C17" s="156">
        <f>SUM(C9:C16)</f>
        <v>0.36800000000000005</v>
      </c>
      <c r="D17" s="153"/>
    </row>
    <row r="18" spans="1:8" ht="15" x14ac:dyDescent="0.2">
      <c r="A18" s="157"/>
      <c r="B18" s="158"/>
      <c r="C18" s="159"/>
      <c r="D18" s="153"/>
    </row>
    <row r="19" spans="1:8" ht="14.25" x14ac:dyDescent="0.2">
      <c r="A19" s="150" t="s">
        <v>184</v>
      </c>
      <c r="B19" s="160" t="s">
        <v>185</v>
      </c>
      <c r="C19" s="154">
        <f>ROUND(IF('3.CAGED'!C32&gt;24,(1-12/'3.CAGED'!C32)*0.1111,0.1111-C28),4)</f>
        <v>6.1899999999999997E-2</v>
      </c>
      <c r="D19" s="153"/>
    </row>
    <row r="20" spans="1:8" ht="14.25" x14ac:dyDescent="0.2">
      <c r="A20" s="150" t="s">
        <v>186</v>
      </c>
      <c r="B20" s="160" t="s">
        <v>187</v>
      </c>
      <c r="C20" s="154">
        <f>ROUND('3.CAGED'!C36/'3.CAGED'!C33,4)</f>
        <v>8.3299999999999999E-2</v>
      </c>
      <c r="D20" s="153"/>
    </row>
    <row r="21" spans="1:8" ht="14.25" x14ac:dyDescent="0.2">
      <c r="A21" s="150" t="s">
        <v>188</v>
      </c>
      <c r="B21" s="160" t="s">
        <v>189</v>
      </c>
      <c r="C21" s="154">
        <v>5.9999999999999995E-4</v>
      </c>
      <c r="D21" s="153"/>
    </row>
    <row r="22" spans="1:8" ht="14.25" x14ac:dyDescent="0.2">
      <c r="A22" s="150" t="s">
        <v>190</v>
      </c>
      <c r="B22" s="160" t="s">
        <v>191</v>
      </c>
      <c r="C22" s="154">
        <v>8.2000000000000007E-3</v>
      </c>
      <c r="D22" s="153"/>
    </row>
    <row r="23" spans="1:8" ht="14.25" x14ac:dyDescent="0.2">
      <c r="A23" s="150" t="s">
        <v>192</v>
      </c>
      <c r="B23" s="160" t="s">
        <v>193</v>
      </c>
      <c r="C23" s="154">
        <v>3.0999999999999999E-3</v>
      </c>
      <c r="D23" s="153"/>
    </row>
    <row r="24" spans="1:8" ht="14.25" x14ac:dyDescent="0.2">
      <c r="A24" s="150" t="s">
        <v>194</v>
      </c>
      <c r="B24" s="160" t="s">
        <v>195</v>
      </c>
      <c r="C24" s="154">
        <v>1.66E-2</v>
      </c>
      <c r="D24" s="153"/>
    </row>
    <row r="25" spans="1:8" ht="15" x14ac:dyDescent="0.2">
      <c r="A25" s="150" t="s">
        <v>196</v>
      </c>
      <c r="B25" s="155" t="s">
        <v>197</v>
      </c>
      <c r="C25" s="156">
        <f>SUM(C19:C24)</f>
        <v>0.17369999999999999</v>
      </c>
      <c r="D25" s="161"/>
    </row>
    <row r="26" spans="1:8" ht="15" x14ac:dyDescent="0.2">
      <c r="A26" s="157"/>
      <c r="B26" s="158"/>
      <c r="C26" s="159"/>
      <c r="D26" s="161"/>
    </row>
    <row r="27" spans="1:8" ht="14.25" x14ac:dyDescent="0.2">
      <c r="A27" s="150" t="s">
        <v>198</v>
      </c>
      <c r="B27" s="151" t="s">
        <v>199</v>
      </c>
      <c r="C27" s="154">
        <f>ROUND(('3.CAGED'!C37) *'3.CAGED'!C30/'3.CAGED'!C33,4)</f>
        <v>2.5600000000000001E-2</v>
      </c>
      <c r="D27" s="153"/>
      <c r="E27" s="162"/>
    </row>
    <row r="28" spans="1:8" ht="14.25" x14ac:dyDescent="0.2">
      <c r="A28" s="150" t="s">
        <v>200</v>
      </c>
      <c r="B28" s="151" t="s">
        <v>201</v>
      </c>
      <c r="C28" s="154">
        <f>ROUND(IF('3.CAGED'!C32&gt;12,12/'3.CAGED'!C32*0.1111,0.1111),4)</f>
        <v>4.9200000000000001E-2</v>
      </c>
      <c r="D28" s="153"/>
      <c r="H28" s="163"/>
    </row>
    <row r="29" spans="1:8" ht="14.25" x14ac:dyDescent="0.2">
      <c r="A29" s="150" t="s">
        <v>202</v>
      </c>
      <c r="B29" s="151" t="s">
        <v>203</v>
      </c>
      <c r="C29" s="154">
        <f>C27*C28</f>
        <v>1.2595200000000001E-3</v>
      </c>
      <c r="D29" s="153"/>
      <c r="E29" s="162"/>
    </row>
    <row r="30" spans="1:8" ht="14.25" x14ac:dyDescent="0.2">
      <c r="A30" s="150" t="s">
        <v>204</v>
      </c>
      <c r="B30" s="151" t="s">
        <v>205</v>
      </c>
      <c r="C30" s="154">
        <f>ROUND(('3.CAGED'!C33+'3.CAGED'!C34+'3.CAGED'!C36)/'3.CAGED'!C31*'3.CAGED'!C38*'3.CAGED'!C39*'3.CAGED'!C30/'3.CAGED'!C33,4)</f>
        <v>2.0500000000000001E-2</v>
      </c>
      <c r="D30" s="153"/>
      <c r="G30" s="162"/>
    </row>
    <row r="31" spans="1:8" ht="14.25" x14ac:dyDescent="0.2">
      <c r="A31" s="150" t="s">
        <v>206</v>
      </c>
      <c r="B31" s="151" t="s">
        <v>207</v>
      </c>
      <c r="C31" s="154">
        <f>ROUND(('3.CAGED'!C35/'3.CAGED'!C33)*'3.CAGED'!C30/12,4)</f>
        <v>1.8E-3</v>
      </c>
      <c r="D31" s="153"/>
    </row>
    <row r="32" spans="1:8" ht="15" x14ac:dyDescent="0.2">
      <c r="A32" s="150" t="s">
        <v>208</v>
      </c>
      <c r="B32" s="155" t="s">
        <v>209</v>
      </c>
      <c r="C32" s="156">
        <f>SUM(C27:C31)</f>
        <v>9.8359520000000006E-2</v>
      </c>
      <c r="D32" s="161"/>
    </row>
    <row r="33" spans="1:4" ht="15" x14ac:dyDescent="0.2">
      <c r="A33" s="157"/>
      <c r="B33" s="158"/>
      <c r="C33" s="159"/>
      <c r="D33" s="161"/>
    </row>
    <row r="34" spans="1:4" ht="14.25" x14ac:dyDescent="0.2">
      <c r="A34" s="150" t="s">
        <v>210</v>
      </c>
      <c r="B34" s="151" t="s">
        <v>211</v>
      </c>
      <c r="C34" s="154">
        <f>ROUND(C17*C25,4)</f>
        <v>6.3899999999999998E-2</v>
      </c>
      <c r="D34" s="153"/>
    </row>
    <row r="35" spans="1:4" ht="28.5" x14ac:dyDescent="0.2">
      <c r="A35" s="150" t="s">
        <v>212</v>
      </c>
      <c r="B35" s="164" t="s">
        <v>213</v>
      </c>
      <c r="C35" s="154">
        <f>ROUND((C27*C16),4)</f>
        <v>2E-3</v>
      </c>
      <c r="D35" s="153"/>
    </row>
    <row r="36" spans="1:4" ht="15" x14ac:dyDescent="0.2">
      <c r="A36" s="150" t="s">
        <v>214</v>
      </c>
      <c r="B36" s="155" t="s">
        <v>215</v>
      </c>
      <c r="C36" s="156">
        <f>SUM(C34:C35)</f>
        <v>6.59E-2</v>
      </c>
      <c r="D36" s="161"/>
    </row>
    <row r="37" spans="1:4" ht="15" x14ac:dyDescent="0.2">
      <c r="A37" s="165"/>
      <c r="B37" s="166" t="s">
        <v>216</v>
      </c>
      <c r="C37" s="167">
        <f>C36+C32+C25+C17</f>
        <v>0.70595951999999995</v>
      </c>
      <c r="D37" s="161"/>
    </row>
    <row r="38" spans="1:4" ht="15" x14ac:dyDescent="0.2">
      <c r="A38" s="153"/>
      <c r="B38" s="168"/>
      <c r="C38" s="169"/>
      <c r="D38" s="161"/>
    </row>
    <row r="39" spans="1:4" ht="14.25" x14ac:dyDescent="0.2">
      <c r="A39" s="153"/>
      <c r="B39" s="153"/>
      <c r="C39" s="170"/>
      <c r="D39" s="153"/>
    </row>
    <row r="40" spans="1:4" ht="14.25" x14ac:dyDescent="0.2">
      <c r="A40" s="153"/>
      <c r="B40" s="153"/>
      <c r="C40" s="170"/>
      <c r="D40" s="153"/>
    </row>
    <row r="41" spans="1:4" ht="14.25" x14ac:dyDescent="0.2">
      <c r="A41" s="153"/>
      <c r="B41" s="153"/>
      <c r="C41" s="170"/>
      <c r="D41" s="153"/>
    </row>
    <row r="42" spans="1:4" ht="14.25" x14ac:dyDescent="0.2">
      <c r="A42" s="153"/>
      <c r="B42" s="153"/>
      <c r="C42" s="170"/>
      <c r="D42" s="153"/>
    </row>
    <row r="43" spans="1:4" ht="15" x14ac:dyDescent="0.2">
      <c r="A43" s="153"/>
      <c r="B43" s="168"/>
      <c r="C43" s="169"/>
      <c r="D43" s="153"/>
    </row>
    <row r="44" spans="1:4" ht="15" x14ac:dyDescent="0.2">
      <c r="A44" s="161"/>
      <c r="B44" s="168"/>
      <c r="C44" s="169"/>
      <c r="D44" s="161"/>
    </row>
    <row r="45" spans="1:4" ht="16.5" x14ac:dyDescent="0.2">
      <c r="A45" s="171"/>
    </row>
    <row r="46" spans="1:4" x14ac:dyDescent="0.2">
      <c r="A46" s="172"/>
      <c r="B46" s="173"/>
      <c r="C46" s="173"/>
    </row>
    <row r="47" spans="1:4" ht="14.25" x14ac:dyDescent="0.2">
      <c r="A47" s="153"/>
      <c r="B47" s="174"/>
      <c r="C47" s="173"/>
    </row>
    <row r="48" spans="1:4" ht="14.25" x14ac:dyDescent="0.2">
      <c r="A48" s="153"/>
      <c r="B48" s="174"/>
      <c r="C48" s="153"/>
    </row>
    <row r="49" spans="1:3" ht="14.25" x14ac:dyDescent="0.2">
      <c r="A49" s="153"/>
      <c r="B49" s="170"/>
      <c r="C49" s="173"/>
    </row>
    <row r="50" spans="1:3" ht="14.25" x14ac:dyDescent="0.2">
      <c r="A50" s="153"/>
      <c r="B50" s="174"/>
      <c r="C50" s="153"/>
    </row>
    <row r="51" spans="1:3" ht="14.25" x14ac:dyDescent="0.2">
      <c r="A51" s="153"/>
      <c r="B51" s="170"/>
      <c r="C51" s="173"/>
    </row>
    <row r="52" spans="1:3" ht="14.25" x14ac:dyDescent="0.2">
      <c r="A52" s="153"/>
      <c r="B52" s="174"/>
      <c r="C52" s="153"/>
    </row>
    <row r="53" spans="1:3" ht="14.25" x14ac:dyDescent="0.2">
      <c r="A53" s="153"/>
      <c r="B53" s="170"/>
      <c r="C53" s="173"/>
    </row>
    <row r="54" spans="1:3" ht="14.25" x14ac:dyDescent="0.2">
      <c r="A54" s="153"/>
      <c r="B54" s="174"/>
      <c r="C54" s="153"/>
    </row>
    <row r="55" spans="1:3" ht="14.25" x14ac:dyDescent="0.2">
      <c r="A55" s="153"/>
      <c r="B55" s="170"/>
      <c r="C55" s="173"/>
    </row>
    <row r="56" spans="1:3" ht="16.5" x14ac:dyDescent="0.2">
      <c r="A56" s="171"/>
    </row>
    <row r="59" spans="1:3" x14ac:dyDescent="0.2">
      <c r="A59" s="110"/>
    </row>
  </sheetData>
  <mergeCells count="1">
    <mergeCell ref="A7:C7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9"/>
  <sheetViews>
    <sheetView view="pageBreakPreview" topLeftCell="A4" zoomScaleNormal="100" workbookViewId="0">
      <selection activeCell="E10" sqref="E10"/>
    </sheetView>
  </sheetViews>
  <sheetFormatPr defaultColWidth="9.140625" defaultRowHeight="12.75" x14ac:dyDescent="0.2"/>
  <cols>
    <col min="1" max="1" width="8.5703125" style="146" customWidth="1"/>
    <col min="2" max="2" width="67.140625" style="146" customWidth="1"/>
    <col min="3" max="3" width="13.7109375" style="146" customWidth="1"/>
    <col min="4" max="4" width="10.28515625" style="146" customWidth="1"/>
    <col min="5" max="5" width="13.7109375" style="146" customWidth="1"/>
    <col min="6" max="16384" width="9.140625" style="146"/>
  </cols>
  <sheetData>
    <row r="1" spans="1:3" x14ac:dyDescent="0.2">
      <c r="A1" s="175"/>
    </row>
    <row r="5" spans="1:3" ht="25.5" customHeight="1" x14ac:dyDescent="0.2">
      <c r="A5" s="176"/>
      <c r="B5" s="176"/>
      <c r="C5" s="176"/>
    </row>
    <row r="7" spans="1:3" ht="26.25" customHeight="1" x14ac:dyDescent="0.25">
      <c r="A7" s="273" t="s">
        <v>161</v>
      </c>
      <c r="B7" s="273"/>
      <c r="C7" s="273"/>
    </row>
    <row r="9" spans="1:3" x14ac:dyDescent="0.2">
      <c r="A9" s="177"/>
      <c r="B9" s="2" t="s">
        <v>0</v>
      </c>
    </row>
    <row r="11" spans="1:3" ht="18" x14ac:dyDescent="0.25">
      <c r="B11" s="274" t="s">
        <v>217</v>
      </c>
      <c r="C11" s="274"/>
    </row>
    <row r="12" spans="1:3" ht="15" x14ac:dyDescent="0.25">
      <c r="B12" s="178" t="s">
        <v>218</v>
      </c>
      <c r="C12" s="179"/>
    </row>
    <row r="13" spans="1:3" ht="15" x14ac:dyDescent="0.25">
      <c r="B13" s="180" t="s">
        <v>219</v>
      </c>
      <c r="C13" s="181">
        <v>2100</v>
      </c>
    </row>
    <row r="14" spans="1:3" ht="15" x14ac:dyDescent="0.25">
      <c r="B14" s="182" t="s">
        <v>220</v>
      </c>
      <c r="C14" s="181">
        <v>2031</v>
      </c>
    </row>
    <row r="15" spans="1:3" ht="14.25" x14ac:dyDescent="0.2">
      <c r="B15" s="183" t="s">
        <v>221</v>
      </c>
      <c r="C15" s="184">
        <v>44</v>
      </c>
    </row>
    <row r="16" spans="1:3" ht="14.25" x14ac:dyDescent="0.2">
      <c r="B16" s="183" t="s">
        <v>222</v>
      </c>
      <c r="C16" s="184">
        <v>1192</v>
      </c>
    </row>
    <row r="17" spans="1:3" ht="14.25" x14ac:dyDescent="0.2">
      <c r="B17" s="183" t="s">
        <v>223</v>
      </c>
      <c r="C17" s="184">
        <v>372</v>
      </c>
    </row>
    <row r="18" spans="1:3" ht="14.25" x14ac:dyDescent="0.2">
      <c r="B18" s="183" t="s">
        <v>224</v>
      </c>
      <c r="C18" s="184">
        <v>22</v>
      </c>
    </row>
    <row r="19" spans="1:3" ht="14.25" x14ac:dyDescent="0.2">
      <c r="B19" s="183" t="s">
        <v>225</v>
      </c>
      <c r="C19" s="184">
        <v>350</v>
      </c>
    </row>
    <row r="20" spans="1:3" ht="14.25" x14ac:dyDescent="0.2">
      <c r="B20" s="183" t="s">
        <v>226</v>
      </c>
      <c r="C20" s="184">
        <v>1</v>
      </c>
    </row>
    <row r="21" spans="1:3" ht="14.25" x14ac:dyDescent="0.2">
      <c r="B21" s="183" t="s">
        <v>227</v>
      </c>
      <c r="C21" s="184">
        <v>30</v>
      </c>
    </row>
    <row r="22" spans="1:3" ht="14.25" x14ac:dyDescent="0.2">
      <c r="B22" s="185" t="s">
        <v>228</v>
      </c>
      <c r="C22" s="186">
        <v>0</v>
      </c>
    </row>
    <row r="23" spans="1:3" ht="14.25" x14ac:dyDescent="0.2">
      <c r="B23" s="187" t="s">
        <v>229</v>
      </c>
      <c r="C23" s="186">
        <v>0</v>
      </c>
    </row>
    <row r="24" spans="1:3" ht="15" x14ac:dyDescent="0.25">
      <c r="A24" s="146" t="s">
        <v>230</v>
      </c>
      <c r="B24" s="178" t="s">
        <v>231</v>
      </c>
      <c r="C24" s="179"/>
    </row>
    <row r="25" spans="1:3" ht="14.25" x14ac:dyDescent="0.2">
      <c r="B25" s="188" t="s">
        <v>232</v>
      </c>
      <c r="C25" s="189">
        <v>4625</v>
      </c>
    </row>
    <row r="26" spans="1:3" ht="14.25" x14ac:dyDescent="0.2">
      <c r="B26" s="183" t="s">
        <v>233</v>
      </c>
      <c r="C26" s="184">
        <v>4694</v>
      </c>
    </row>
    <row r="27" spans="1:3" ht="14.25" x14ac:dyDescent="0.2">
      <c r="B27" s="183" t="s">
        <v>234</v>
      </c>
      <c r="C27" s="190">
        <f>C13-C14</f>
        <v>69</v>
      </c>
    </row>
    <row r="28" spans="1:3" ht="14.25" x14ac:dyDescent="0.2">
      <c r="B28" s="191"/>
      <c r="C28" s="192"/>
    </row>
    <row r="29" spans="1:3" s="175" customFormat="1" ht="15" x14ac:dyDescent="0.25">
      <c r="B29" s="180" t="s">
        <v>235</v>
      </c>
      <c r="C29" s="193">
        <f>MEDIAN(C25,C26)</f>
        <v>4659.5</v>
      </c>
    </row>
    <row r="30" spans="1:3" ht="15" x14ac:dyDescent="0.25">
      <c r="B30" s="182" t="s">
        <v>236</v>
      </c>
      <c r="C30" s="194">
        <f>C16/C29</f>
        <v>0.25582144006867691</v>
      </c>
    </row>
    <row r="31" spans="1:3" ht="15" x14ac:dyDescent="0.25">
      <c r="B31" s="182" t="s">
        <v>237</v>
      </c>
      <c r="C31" s="194">
        <f>MEDIAN(C13,C14)/C29</f>
        <v>0.44328790642772831</v>
      </c>
    </row>
    <row r="32" spans="1:3" s="175" customFormat="1" ht="15" x14ac:dyDescent="0.25">
      <c r="B32" s="182" t="s">
        <v>238</v>
      </c>
      <c r="C32" s="195">
        <f>12/C31</f>
        <v>27.070442992011618</v>
      </c>
    </row>
    <row r="33" spans="2:3" ht="15" x14ac:dyDescent="0.25">
      <c r="B33" s="182" t="s">
        <v>239</v>
      </c>
      <c r="C33" s="196">
        <v>360</v>
      </c>
    </row>
    <row r="34" spans="2:3" ht="15" x14ac:dyDescent="0.25">
      <c r="B34" s="182" t="s">
        <v>240</v>
      </c>
      <c r="C34" s="196">
        <v>10</v>
      </c>
    </row>
    <row r="35" spans="2:3" ht="15" x14ac:dyDescent="0.25">
      <c r="B35" s="180" t="s">
        <v>241</v>
      </c>
      <c r="C35" s="197">
        <v>30</v>
      </c>
    </row>
    <row r="36" spans="2:3" ht="15" x14ac:dyDescent="0.25">
      <c r="B36" s="180" t="s">
        <v>242</v>
      </c>
      <c r="C36" s="197">
        <v>30</v>
      </c>
    </row>
    <row r="37" spans="2:3" s="175" customFormat="1" ht="15" x14ac:dyDescent="0.25">
      <c r="B37" s="180" t="s">
        <v>243</v>
      </c>
      <c r="C37" s="197">
        <f>30+(3*TRUNC(1/C31))</f>
        <v>36</v>
      </c>
    </row>
    <row r="38" spans="2:3" s="175" customFormat="1" ht="15" x14ac:dyDescent="0.25">
      <c r="B38" s="182" t="s">
        <v>181</v>
      </c>
      <c r="C38" s="198">
        <v>0.08</v>
      </c>
    </row>
    <row r="39" spans="2:3" s="175" customFormat="1" ht="15" x14ac:dyDescent="0.25">
      <c r="B39" s="199" t="s">
        <v>244</v>
      </c>
      <c r="C39" s="200">
        <v>0.4</v>
      </c>
    </row>
  </sheetData>
  <mergeCells count="2">
    <mergeCell ref="A7:C7"/>
    <mergeCell ref="B11:C11"/>
  </mergeCells>
  <pageMargins left="0.905555555555556" right="0.51180555555555596" top="0.74791666666666701" bottom="0.74791666666666701" header="0.511811023622047" footer="0.511811023622047"/>
  <pageSetup paperSize="9" scale="9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view="pageBreakPreview" zoomScaleNormal="100" workbookViewId="0">
      <selection activeCell="E16" sqref="E16"/>
    </sheetView>
  </sheetViews>
  <sheetFormatPr defaultColWidth="8.7109375" defaultRowHeight="12.75" x14ac:dyDescent="0.2"/>
  <cols>
    <col min="1" max="1" width="41.85546875" customWidth="1"/>
    <col min="2" max="2" width="5.5703125" customWidth="1"/>
    <col min="4" max="4" width="9.7109375" customWidth="1"/>
    <col min="5" max="5" width="8" style="144" customWidth="1"/>
    <col min="6" max="6" width="9.7109375" customWidth="1"/>
  </cols>
  <sheetData>
    <row r="1" spans="1:8" s="201" customFormat="1" ht="14.25" x14ac:dyDescent="0.2">
      <c r="A1" s="27"/>
      <c r="B1" s="13"/>
      <c r="C1" s="13"/>
      <c r="E1" s="202"/>
    </row>
    <row r="2" spans="1:8" s="201" customFormat="1" ht="14.25" x14ac:dyDescent="0.2">
      <c r="A2" s="147"/>
      <c r="B2" s="13"/>
      <c r="C2" s="13"/>
      <c r="E2" s="202"/>
    </row>
    <row r="3" spans="1:8" s="201" customFormat="1" ht="14.25" x14ac:dyDescent="0.2">
      <c r="A3" s="2"/>
      <c r="B3" s="13"/>
      <c r="C3" s="13"/>
      <c r="E3" s="202"/>
    </row>
    <row r="4" spans="1:8" s="201" customFormat="1" ht="14.25" x14ac:dyDescent="0.2">
      <c r="A4" s="2"/>
      <c r="B4" s="13"/>
      <c r="C4" s="13"/>
      <c r="E4" s="202"/>
    </row>
    <row r="5" spans="1:8" s="7" customFormat="1" ht="15" customHeight="1" x14ac:dyDescent="0.2">
      <c r="A5" s="5"/>
      <c r="B5" s="8"/>
      <c r="C5" s="8"/>
      <c r="D5" s="8"/>
      <c r="E5" s="8"/>
      <c r="F5" s="8"/>
      <c r="G5" s="9"/>
    </row>
    <row r="6" spans="1:8" s="7" customFormat="1" ht="16.5" customHeight="1" x14ac:dyDescent="0.2">
      <c r="A6" s="203" t="s">
        <v>161</v>
      </c>
      <c r="B6" s="8"/>
      <c r="C6" s="8"/>
      <c r="D6" s="9"/>
      <c r="E6" s="9"/>
      <c r="F6" s="9"/>
      <c r="G6" s="9"/>
    </row>
    <row r="7" spans="1:8" s="201" customFormat="1" ht="14.25" x14ac:dyDescent="0.2">
      <c r="A7" s="2" t="s">
        <v>0</v>
      </c>
      <c r="B7" s="13"/>
      <c r="C7" s="13"/>
      <c r="E7" s="202"/>
    </row>
    <row r="8" spans="1:8" ht="15.75" x14ac:dyDescent="0.2">
      <c r="A8" s="275" t="s">
        <v>245</v>
      </c>
      <c r="B8" s="275"/>
      <c r="C8" s="275"/>
      <c r="D8" s="275"/>
      <c r="E8" s="275"/>
      <c r="F8" s="275"/>
    </row>
    <row r="9" spans="1:8" ht="15.75" x14ac:dyDescent="0.2">
      <c r="A9" s="204"/>
      <c r="B9" s="205"/>
      <c r="C9" s="205"/>
      <c r="D9" s="205"/>
      <c r="E9" s="205"/>
      <c r="F9" s="206"/>
    </row>
    <row r="10" spans="1:8" ht="15" x14ac:dyDescent="0.25">
      <c r="A10" s="207"/>
      <c r="B10" s="13"/>
      <c r="C10" s="13"/>
      <c r="D10" s="276" t="s">
        <v>246</v>
      </c>
      <c r="E10" s="276"/>
      <c r="F10" s="276"/>
      <c r="G10" s="201"/>
      <c r="H10" s="201"/>
    </row>
    <row r="11" spans="1:8" ht="14.25" x14ac:dyDescent="0.2">
      <c r="A11" s="191"/>
      <c r="B11" s="201"/>
      <c r="C11" s="201"/>
      <c r="D11" s="208" t="s">
        <v>247</v>
      </c>
      <c r="E11" s="209" t="s">
        <v>248</v>
      </c>
      <c r="F11" s="210" t="s">
        <v>249</v>
      </c>
      <c r="G11" s="201"/>
      <c r="H11" s="201"/>
    </row>
    <row r="12" spans="1:8" ht="14.25" x14ac:dyDescent="0.2">
      <c r="A12" s="211" t="s">
        <v>250</v>
      </c>
      <c r="B12" s="212" t="s">
        <v>251</v>
      </c>
      <c r="C12" s="213">
        <v>0.03</v>
      </c>
      <c r="D12" s="214">
        <v>2.9700000000000001E-2</v>
      </c>
      <c r="E12" s="215">
        <v>5.0799999999999998E-2</v>
      </c>
      <c r="F12" s="216">
        <v>6.2700000000000006E-2</v>
      </c>
      <c r="G12" s="201"/>
      <c r="H12" s="201"/>
    </row>
    <row r="13" spans="1:8" ht="14.25" x14ac:dyDescent="0.2">
      <c r="A13" s="217" t="s">
        <v>252</v>
      </c>
      <c r="B13" s="218" t="s">
        <v>253</v>
      </c>
      <c r="C13" s="219">
        <v>1.3299999999999999E-2</v>
      </c>
      <c r="D13" s="214">
        <f>0.3%+0.56%</f>
        <v>8.6E-3</v>
      </c>
      <c r="E13" s="215">
        <f>0.48%+0.85%</f>
        <v>1.3299999999999999E-2</v>
      </c>
      <c r="F13" s="216">
        <f>0.82%+0.89%</f>
        <v>1.7099999999999997E-2</v>
      </c>
      <c r="G13" s="201"/>
      <c r="H13" s="201"/>
    </row>
    <row r="14" spans="1:8" ht="14.25" x14ac:dyDescent="0.2">
      <c r="A14" s="217" t="s">
        <v>254</v>
      </c>
      <c r="B14" s="218" t="s">
        <v>255</v>
      </c>
      <c r="C14" s="219">
        <v>0.09</v>
      </c>
      <c r="D14" s="214">
        <v>7.7799999999999994E-2</v>
      </c>
      <c r="E14" s="215">
        <v>0.1085</v>
      </c>
      <c r="F14" s="216">
        <v>0.13550000000000001</v>
      </c>
      <c r="G14" s="201"/>
      <c r="H14" s="201"/>
    </row>
    <row r="15" spans="1:8" ht="14.25" x14ac:dyDescent="0.2">
      <c r="A15" s="217" t="s">
        <v>256</v>
      </c>
      <c r="B15" s="218" t="s">
        <v>257</v>
      </c>
      <c r="C15" s="220">
        <f>(1+E15)^(E16/252)-1</f>
        <v>5.1255062445492161E-3</v>
      </c>
      <c r="D15" s="214" t="s">
        <v>258</v>
      </c>
      <c r="E15" s="221">
        <v>0.13750000000000001</v>
      </c>
      <c r="F15" s="222"/>
      <c r="G15" s="201"/>
      <c r="H15" s="201"/>
    </row>
    <row r="16" spans="1:8" ht="14.25" x14ac:dyDescent="0.2">
      <c r="A16" s="217" t="s">
        <v>259</v>
      </c>
      <c r="B16" s="277" t="s">
        <v>260</v>
      </c>
      <c r="C16" s="219">
        <v>0.04</v>
      </c>
      <c r="D16" s="223" t="s">
        <v>261</v>
      </c>
      <c r="E16" s="224">
        <v>10</v>
      </c>
      <c r="F16" s="190"/>
      <c r="G16" s="201"/>
      <c r="H16" s="201"/>
    </row>
    <row r="17" spans="1:8" ht="14.25" x14ac:dyDescent="0.2">
      <c r="A17" s="225" t="s">
        <v>262</v>
      </c>
      <c r="B17" s="277"/>
      <c r="C17" s="226">
        <v>3.6499999999999998E-2</v>
      </c>
      <c r="D17" s="183"/>
      <c r="E17" s="227"/>
      <c r="F17" s="190"/>
      <c r="G17" s="201"/>
      <c r="H17" s="201"/>
    </row>
    <row r="18" spans="1:8" ht="14.25" x14ac:dyDescent="0.2">
      <c r="A18" s="228" t="s">
        <v>263</v>
      </c>
      <c r="B18" s="229"/>
      <c r="C18" s="230"/>
      <c r="D18" s="183"/>
      <c r="E18" s="227"/>
      <c r="F18" s="190"/>
      <c r="G18" s="201"/>
      <c r="H18" s="201"/>
    </row>
    <row r="19" spans="1:8" ht="14.25" x14ac:dyDescent="0.2">
      <c r="A19" s="231" t="s">
        <v>264</v>
      </c>
      <c r="B19" s="232"/>
      <c r="C19" s="233"/>
      <c r="D19" s="183"/>
      <c r="E19" s="227"/>
      <c r="F19" s="190"/>
      <c r="G19" s="201"/>
      <c r="H19" s="201"/>
    </row>
    <row r="20" spans="1:8" ht="15" x14ac:dyDescent="0.2">
      <c r="A20" s="234" t="s">
        <v>265</v>
      </c>
      <c r="B20" s="235"/>
      <c r="C20" s="236">
        <f>ROUND((((1+C12+C13)*(1+C14)*(1+C15))/(1-(C16+C17))-1),4)</f>
        <v>0.23769999999999999</v>
      </c>
      <c r="D20" s="237">
        <v>0.21429999999999999</v>
      </c>
      <c r="E20" s="238">
        <v>0.2717</v>
      </c>
      <c r="F20" s="239">
        <v>0.3362</v>
      </c>
      <c r="G20" s="201"/>
      <c r="H20" s="201"/>
    </row>
    <row r="21" spans="1:8" ht="14.25" x14ac:dyDescent="0.2">
      <c r="A21" s="201"/>
      <c r="B21" s="201"/>
      <c r="C21" s="201"/>
      <c r="D21" s="201"/>
      <c r="E21" s="202"/>
      <c r="F21" s="201"/>
      <c r="G21" s="201"/>
      <c r="H21" s="201"/>
    </row>
    <row r="22" spans="1:8" ht="14.25" x14ac:dyDescent="0.2">
      <c r="A22" s="201"/>
      <c r="B22" s="201"/>
      <c r="C22" s="201"/>
      <c r="D22" s="201"/>
      <c r="E22" s="202"/>
      <c r="F22" s="201"/>
      <c r="G22" s="201"/>
      <c r="H22" s="201"/>
    </row>
    <row r="23" spans="1:8" ht="14.25" x14ac:dyDescent="0.2">
      <c r="A23" s="201"/>
      <c r="B23" s="201"/>
      <c r="C23" s="201"/>
      <c r="D23" s="201"/>
      <c r="E23" s="202"/>
      <c r="F23" s="201"/>
      <c r="G23" s="201"/>
      <c r="H23" s="201"/>
    </row>
    <row r="24" spans="1:8" ht="14.25" x14ac:dyDescent="0.2">
      <c r="A24" s="201"/>
      <c r="B24" s="201"/>
      <c r="C24" s="201"/>
      <c r="D24" s="201"/>
      <c r="E24" s="202"/>
      <c r="F24" s="201"/>
      <c r="G24" s="201"/>
      <c r="H24" s="201"/>
    </row>
  </sheetData>
  <mergeCells count="3">
    <mergeCell ref="A8:F8"/>
    <mergeCell ref="D10:F10"/>
    <mergeCell ref="B16:B17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7"/>
  <sheetViews>
    <sheetView view="pageBreakPreview" zoomScaleNormal="100" workbookViewId="0"/>
  </sheetViews>
  <sheetFormatPr defaultColWidth="9.140625" defaultRowHeight="12.75" x14ac:dyDescent="0.2"/>
  <cols>
    <col min="1" max="1" width="24.5703125" style="146" customWidth="1"/>
    <col min="2" max="2" width="28.42578125" style="146" customWidth="1"/>
    <col min="3" max="16384" width="9.140625" style="146"/>
  </cols>
  <sheetData>
    <row r="1" spans="1:2" ht="39" customHeight="1" x14ac:dyDescent="0.2">
      <c r="A1" s="278" t="s">
        <v>266</v>
      </c>
      <c r="B1" s="278"/>
    </row>
    <row r="2" spans="1:2" s="175" customFormat="1" ht="19.5" customHeight="1" x14ac:dyDescent="0.2">
      <c r="A2" s="240" t="s">
        <v>267</v>
      </c>
      <c r="B2" s="241" t="s">
        <v>268</v>
      </c>
    </row>
    <row r="3" spans="1:2" ht="19.5" customHeight="1" x14ac:dyDescent="0.2">
      <c r="A3" s="242">
        <v>1</v>
      </c>
      <c r="B3" s="243">
        <v>33.630000000000003</v>
      </c>
    </row>
    <row r="4" spans="1:2" ht="19.5" customHeight="1" x14ac:dyDescent="0.2">
      <c r="A4" s="242">
        <v>2</v>
      </c>
      <c r="B4" s="243">
        <v>43.13</v>
      </c>
    </row>
    <row r="5" spans="1:2" ht="19.5" customHeight="1" x14ac:dyDescent="0.2">
      <c r="A5" s="242">
        <v>3</v>
      </c>
      <c r="B5" s="243">
        <v>48.68</v>
      </c>
    </row>
    <row r="6" spans="1:2" ht="19.5" customHeight="1" x14ac:dyDescent="0.2">
      <c r="A6" s="242">
        <v>4</v>
      </c>
      <c r="B6" s="243">
        <v>52.62</v>
      </c>
    </row>
    <row r="7" spans="1:2" ht="19.5" customHeight="1" x14ac:dyDescent="0.2">
      <c r="A7" s="242">
        <v>5</v>
      </c>
      <c r="B7" s="243">
        <v>55.68</v>
      </c>
    </row>
    <row r="8" spans="1:2" ht="19.5" customHeight="1" x14ac:dyDescent="0.2">
      <c r="A8" s="242">
        <v>6</v>
      </c>
      <c r="B8" s="243">
        <v>58.18</v>
      </c>
    </row>
    <row r="9" spans="1:2" ht="19.5" customHeight="1" x14ac:dyDescent="0.2">
      <c r="A9" s="242">
        <v>7</v>
      </c>
      <c r="B9" s="243">
        <v>60.29</v>
      </c>
    </row>
    <row r="10" spans="1:2" ht="19.5" customHeight="1" x14ac:dyDescent="0.2">
      <c r="A10" s="242">
        <v>8</v>
      </c>
      <c r="B10" s="243">
        <v>62.12</v>
      </c>
    </row>
    <row r="11" spans="1:2" ht="19.5" customHeight="1" x14ac:dyDescent="0.2">
      <c r="A11" s="242">
        <v>9</v>
      </c>
      <c r="B11" s="243">
        <v>63.73</v>
      </c>
    </row>
    <row r="12" spans="1:2" ht="19.5" customHeight="1" x14ac:dyDescent="0.2">
      <c r="A12" s="242">
        <v>10</v>
      </c>
      <c r="B12" s="243">
        <v>65.180000000000007</v>
      </c>
    </row>
    <row r="13" spans="1:2" ht="19.5" customHeight="1" x14ac:dyDescent="0.2">
      <c r="A13" s="242">
        <v>11</v>
      </c>
      <c r="B13" s="243">
        <v>66.48</v>
      </c>
    </row>
    <row r="14" spans="1:2" ht="19.5" customHeight="1" x14ac:dyDescent="0.2">
      <c r="A14" s="242">
        <v>12</v>
      </c>
      <c r="B14" s="243">
        <v>67.67</v>
      </c>
    </row>
    <row r="15" spans="1:2" ht="19.5" customHeight="1" x14ac:dyDescent="0.2">
      <c r="A15" s="242">
        <v>13</v>
      </c>
      <c r="B15" s="243">
        <v>68.77</v>
      </c>
    </row>
    <row r="16" spans="1:2" ht="19.5" customHeight="1" x14ac:dyDescent="0.2">
      <c r="A16" s="242">
        <v>14</v>
      </c>
      <c r="B16" s="243">
        <v>69.790000000000006</v>
      </c>
    </row>
    <row r="17" spans="1:2" ht="19.5" customHeight="1" x14ac:dyDescent="0.2">
      <c r="A17" s="244">
        <v>15</v>
      </c>
      <c r="B17" s="245">
        <v>70.73</v>
      </c>
    </row>
  </sheetData>
  <mergeCells count="1">
    <mergeCell ref="A1:B1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7"/>
  <sheetViews>
    <sheetView view="pageBreakPreview" zoomScaleNormal="100" workbookViewId="0">
      <selection activeCell="A14" sqref="A14"/>
    </sheetView>
  </sheetViews>
  <sheetFormatPr defaultColWidth="9.140625" defaultRowHeight="12.75" x14ac:dyDescent="0.2"/>
  <cols>
    <col min="1" max="1" width="70.42578125" style="146" customWidth="1"/>
    <col min="2" max="3" width="9.140625" style="146"/>
    <col min="4" max="4" width="12.85546875" style="146" customWidth="1"/>
    <col min="5" max="16384" width="9.140625" style="146"/>
  </cols>
  <sheetData>
    <row r="1" spans="1:1" ht="18" x14ac:dyDescent="0.25">
      <c r="A1" s="246" t="s">
        <v>269</v>
      </c>
    </row>
    <row r="2" spans="1:1" x14ac:dyDescent="0.2">
      <c r="A2" s="247"/>
    </row>
    <row r="3" spans="1:1" x14ac:dyDescent="0.2">
      <c r="A3" s="247" t="s">
        <v>270</v>
      </c>
    </row>
    <row r="4" spans="1:1" x14ac:dyDescent="0.2">
      <c r="A4" s="247"/>
    </row>
    <row r="5" spans="1:1" x14ac:dyDescent="0.2">
      <c r="A5" s="247"/>
    </row>
    <row r="6" spans="1:1" x14ac:dyDescent="0.2">
      <c r="A6" s="247"/>
    </row>
    <row r="7" spans="1:1" x14ac:dyDescent="0.2">
      <c r="A7" s="247"/>
    </row>
    <row r="8" spans="1:1" x14ac:dyDescent="0.2">
      <c r="A8" s="247"/>
    </row>
    <row r="9" spans="1:1" x14ac:dyDescent="0.2">
      <c r="A9" s="247"/>
    </row>
    <row r="10" spans="1:1" x14ac:dyDescent="0.2">
      <c r="A10" s="247"/>
    </row>
    <row r="11" spans="1:1" x14ac:dyDescent="0.2">
      <c r="A11" s="247"/>
    </row>
    <row r="12" spans="1:1" ht="19.5" x14ac:dyDescent="0.35">
      <c r="A12" s="248" t="s">
        <v>271</v>
      </c>
    </row>
    <row r="13" spans="1:1" ht="15" x14ac:dyDescent="0.2">
      <c r="A13" s="248" t="s">
        <v>272</v>
      </c>
    </row>
    <row r="14" spans="1:1" ht="15" x14ac:dyDescent="0.2">
      <c r="A14" s="248" t="s">
        <v>273</v>
      </c>
    </row>
    <row r="15" spans="1:1" ht="19.5" x14ac:dyDescent="0.35">
      <c r="A15" s="248" t="s">
        <v>274</v>
      </c>
    </row>
    <row r="16" spans="1:1" ht="19.5" x14ac:dyDescent="0.35">
      <c r="A16" s="248" t="s">
        <v>275</v>
      </c>
    </row>
    <row r="17" spans="1:1" ht="15" x14ac:dyDescent="0.2">
      <c r="A17" s="249" t="s">
        <v>276</v>
      </c>
    </row>
  </sheetData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8:C29"/>
  <sheetViews>
    <sheetView view="pageBreakPreview" zoomScaleNormal="100" workbookViewId="0">
      <selection activeCell="C23" sqref="C23"/>
    </sheetView>
  </sheetViews>
  <sheetFormatPr defaultColWidth="8.7109375" defaultRowHeight="12.75" x14ac:dyDescent="0.2"/>
  <cols>
    <col min="1" max="1" width="54.42578125" customWidth="1"/>
    <col min="2" max="2" width="12.5703125" customWidth="1"/>
  </cols>
  <sheetData>
    <row r="8" spans="1:3" x14ac:dyDescent="0.2">
      <c r="A8" s="79" t="s">
        <v>161</v>
      </c>
      <c r="B8" s="146"/>
      <c r="C8" s="146"/>
    </row>
    <row r="9" spans="1:3" ht="15.75" x14ac:dyDescent="0.2">
      <c r="A9" s="5"/>
      <c r="B9" s="8"/>
      <c r="C9" s="8"/>
    </row>
    <row r="10" spans="1:3" x14ac:dyDescent="0.2">
      <c r="A10" s="2" t="s">
        <v>0</v>
      </c>
      <c r="B10" s="8"/>
      <c r="C10" s="8"/>
    </row>
    <row r="11" spans="1:3" x14ac:dyDescent="0.2">
      <c r="A11" s="146"/>
      <c r="B11" s="146"/>
      <c r="C11" s="146"/>
    </row>
    <row r="12" spans="1:3" ht="18" x14ac:dyDescent="0.25">
      <c r="A12" s="274" t="s">
        <v>277</v>
      </c>
      <c r="B12" s="274"/>
      <c r="C12" s="274"/>
    </row>
    <row r="13" spans="1:3" ht="18" x14ac:dyDescent="0.25">
      <c r="A13" s="250"/>
      <c r="B13" s="251"/>
      <c r="C13" s="252"/>
    </row>
    <row r="14" spans="1:3" ht="15" x14ac:dyDescent="0.25">
      <c r="A14" s="253" t="s">
        <v>278</v>
      </c>
      <c r="B14" s="254" t="s">
        <v>279</v>
      </c>
      <c r="C14" s="255" t="s">
        <v>165</v>
      </c>
    </row>
    <row r="15" spans="1:3" ht="14.25" x14ac:dyDescent="0.2">
      <c r="A15" s="183" t="s">
        <v>280</v>
      </c>
      <c r="B15" s="256" t="s">
        <v>281</v>
      </c>
      <c r="C15" s="184">
        <v>3422</v>
      </c>
    </row>
    <row r="16" spans="1:3" ht="14.25" x14ac:dyDescent="0.2">
      <c r="A16" s="183" t="s">
        <v>282</v>
      </c>
      <c r="B16" s="256" t="s">
        <v>283</v>
      </c>
      <c r="C16" s="257">
        <f>0.0362741*C15^0.2336249</f>
        <v>0.2428244751517824</v>
      </c>
    </row>
    <row r="17" spans="1:3" ht="14.25" x14ac:dyDescent="0.2">
      <c r="A17" s="183" t="s">
        <v>284</v>
      </c>
      <c r="B17" s="256" t="s">
        <v>285</v>
      </c>
      <c r="C17" s="258">
        <f>C15*C16/1000</f>
        <v>0.83094535396939939</v>
      </c>
    </row>
    <row r="18" spans="1:3" ht="14.25" x14ac:dyDescent="0.2">
      <c r="A18" s="183" t="s">
        <v>286</v>
      </c>
      <c r="B18" s="256" t="s">
        <v>287</v>
      </c>
      <c r="C18" s="259">
        <f>(C17*30)</f>
        <v>24.928360619081982</v>
      </c>
    </row>
    <row r="19" spans="1:3" ht="14.25" x14ac:dyDescent="0.2">
      <c r="A19" s="183" t="s">
        <v>288</v>
      </c>
      <c r="B19" s="256" t="s">
        <v>50</v>
      </c>
      <c r="C19" s="260">
        <v>0.25</v>
      </c>
    </row>
    <row r="20" spans="1:3" ht="14.25" x14ac:dyDescent="0.2">
      <c r="A20" s="183" t="s">
        <v>289</v>
      </c>
      <c r="B20" s="256" t="s">
        <v>285</v>
      </c>
      <c r="C20" s="258">
        <f>IFERROR(C17*7/C19,0)</f>
        <v>23.266469911143183</v>
      </c>
    </row>
    <row r="21" spans="1:3" ht="14.25" x14ac:dyDescent="0.2">
      <c r="A21" s="183" t="s">
        <v>290</v>
      </c>
      <c r="B21" s="256" t="s">
        <v>291</v>
      </c>
      <c r="C21" s="190">
        <v>500</v>
      </c>
    </row>
    <row r="22" spans="1:3" ht="14.25" x14ac:dyDescent="0.2">
      <c r="A22" s="183" t="s">
        <v>292</v>
      </c>
      <c r="B22" s="256"/>
      <c r="C22" s="184">
        <v>1</v>
      </c>
    </row>
    <row r="23" spans="1:3" ht="14.25" x14ac:dyDescent="0.2">
      <c r="A23" s="183" t="s">
        <v>293</v>
      </c>
      <c r="B23" s="256" t="s">
        <v>294</v>
      </c>
      <c r="C23" s="184">
        <v>8</v>
      </c>
    </row>
    <row r="24" spans="1:3" ht="14.25" x14ac:dyDescent="0.2">
      <c r="A24" s="183" t="s">
        <v>295</v>
      </c>
      <c r="B24" s="256" t="s">
        <v>287</v>
      </c>
      <c r="C24" s="190">
        <f>IF(AND(C23&gt;=15,C22=1),5.8,C23/2)</f>
        <v>4</v>
      </c>
    </row>
    <row r="25" spans="1:3" ht="14.25" x14ac:dyDescent="0.2">
      <c r="A25" s="183" t="s">
        <v>296</v>
      </c>
      <c r="B25" s="256"/>
      <c r="C25" s="258">
        <f>IFERROR(C20/C24,0)</f>
        <v>5.8166174777857957</v>
      </c>
    </row>
    <row r="26" spans="1:3" ht="14.25" x14ac:dyDescent="0.2">
      <c r="A26" s="183" t="s">
        <v>297</v>
      </c>
      <c r="B26" s="256"/>
      <c r="C26" s="261">
        <v>1</v>
      </c>
    </row>
    <row r="27" spans="1:3" ht="14.25" x14ac:dyDescent="0.2">
      <c r="A27" s="262" t="s">
        <v>298</v>
      </c>
      <c r="B27" s="263"/>
      <c r="C27" s="264">
        <f>IFERROR(C25/C26,0)</f>
        <v>5.8166174777857957</v>
      </c>
    </row>
    <row r="28" spans="1:3" x14ac:dyDescent="0.2">
      <c r="A28" s="146"/>
      <c r="B28" s="146"/>
      <c r="C28" s="146"/>
    </row>
    <row r="29" spans="1:3" x14ac:dyDescent="0.2">
      <c r="A29" s="146"/>
      <c r="B29" s="146"/>
      <c r="C29" s="146"/>
    </row>
  </sheetData>
  <mergeCells count="1">
    <mergeCell ref="A12:C12"/>
  </mergeCells>
  <conditionalFormatting sqref="C24">
    <cfRule type="expression" dxfId="0" priority="2">
      <formula>"SE(E(C20&gt;=15;C19=1))"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1. Coleta Domiciliar - Rural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 Coleta Domiciliar - Rural'!Area_de_impressao</vt:lpstr>
      <vt:lpstr>'2.Encargos Sociais'!Area_de_impressao</vt:lpstr>
      <vt:lpstr>'1. Coleta Domiciliar - Rural'!Titulos_de_impressao</vt:lpstr>
    </vt:vector>
  </TitlesOfParts>
  <Company>dmlu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subject/>
  <dc:creator>Flavia Burmeister Martins</dc:creator>
  <dc:description/>
  <cp:lastModifiedBy>Valquiria</cp:lastModifiedBy>
  <cp:revision>2</cp:revision>
  <cp:lastPrinted>2023-12-27T12:10:17Z</cp:lastPrinted>
  <dcterms:created xsi:type="dcterms:W3CDTF">2000-12-13T10:02:50Z</dcterms:created>
  <dcterms:modified xsi:type="dcterms:W3CDTF">2023-12-27T12:10:17Z</dcterms:modified>
  <dc:language>pt-BR</dc:language>
</cp:coreProperties>
</file>