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4\CONCORRÊNCIA ELETRÔNICA\CP_01_2024_Coleta de resíduos sólidos\"/>
    </mc:Choice>
  </mc:AlternateContent>
  <xr:revisionPtr revIDLastSave="0" documentId="13_ncr:1_{2E7C860E-09CE-4834-9DB7-A011556FD7DF}" xr6:coauthVersionLast="47" xr6:coauthVersionMax="47" xr10:uidLastSave="{00000000-0000-0000-0000-000000000000}"/>
  <bookViews>
    <workbookView xWindow="28680" yWindow="2355" windowWidth="20730" windowHeight="11040" tabRatio="500" xr2:uid="{00000000-000D-0000-FFFF-FFFF00000000}"/>
  </bookViews>
  <sheets>
    <sheet name="1. Coleta Domiciliar" sheetId="1" r:id="rId1"/>
    <sheet name="2.Encargos Sociais" sheetId="2" r:id="rId2"/>
    <sheet name="3.CAGED" sheetId="3" r:id="rId3"/>
    <sheet name="4.BDI" sheetId="4" r:id="rId4"/>
    <sheet name="4.BDI (2)" sheetId="5" r:id="rId5"/>
    <sheet name="5. Depreciação" sheetId="6" r:id="rId6"/>
    <sheet name="6.Remuneração de capital" sheetId="7" r:id="rId7"/>
    <sheet name="7. Dimensionamento" sheetId="8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Domiciliar'!$A$6:$F$350</definedName>
    <definedName name="_xlnm.Print_Area" localSheetId="1">'2.Encargos Sociais'!$A$1:$C$39</definedName>
    <definedName name="_xlnm.Print_Titles" localSheetId="0">'1. Coleta Domiciliar'!$1:$8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8" l="1"/>
  <c r="C17" i="8"/>
  <c r="C22" i="8" s="1"/>
  <c r="C24" i="8" s="1"/>
  <c r="C15" i="8"/>
  <c r="C14" i="8"/>
  <c r="C15" i="5"/>
  <c r="C20" i="5" s="1"/>
  <c r="F13" i="5"/>
  <c r="E13" i="5"/>
  <c r="C15" i="4"/>
  <c r="C20" i="4" s="1"/>
  <c r="C336" i="1" s="1"/>
  <c r="F13" i="4"/>
  <c r="E13" i="4"/>
  <c r="D13" i="4"/>
  <c r="C25" i="3"/>
  <c r="C27" i="3" s="1"/>
  <c r="C28" i="3" s="1"/>
  <c r="C23" i="3"/>
  <c r="C20" i="2"/>
  <c r="C17" i="2"/>
  <c r="C337" i="1"/>
  <c r="F331" i="1"/>
  <c r="F329" i="1"/>
  <c r="E328" i="1"/>
  <c r="F319" i="1"/>
  <c r="F321" i="1" s="1"/>
  <c r="D337" i="1" s="1"/>
  <c r="E337" i="1" s="1"/>
  <c r="E318" i="1"/>
  <c r="E309" i="1"/>
  <c r="E307" i="1"/>
  <c r="D308" i="1" s="1"/>
  <c r="E308" i="1" s="1"/>
  <c r="F309" i="1" s="1"/>
  <c r="F311" i="1" s="1"/>
  <c r="E35" i="1" s="1"/>
  <c r="E299" i="1"/>
  <c r="E298" i="1"/>
  <c r="E297" i="1"/>
  <c r="E296" i="1"/>
  <c r="E295" i="1"/>
  <c r="F300" i="1" s="1"/>
  <c r="F302" i="1" s="1"/>
  <c r="E34" i="1" s="1"/>
  <c r="C283" i="1"/>
  <c r="C284" i="1" s="1"/>
  <c r="E281" i="1"/>
  <c r="C281" i="1"/>
  <c r="C276" i="1"/>
  <c r="D270" i="1"/>
  <c r="E270" i="1" s="1"/>
  <c r="C263" i="1"/>
  <c r="E262" i="1"/>
  <c r="D263" i="1" s="1"/>
  <c r="E263" i="1" s="1"/>
  <c r="E264" i="1" s="1"/>
  <c r="D265" i="1" s="1"/>
  <c r="E265" i="1" s="1"/>
  <c r="F266" i="1" s="1"/>
  <c r="C262" i="1"/>
  <c r="E259" i="1"/>
  <c r="D262" i="1" s="1"/>
  <c r="C254" i="1"/>
  <c r="C252" i="1"/>
  <c r="E252" i="1" s="1"/>
  <c r="E250" i="1"/>
  <c r="D253" i="1" s="1"/>
  <c r="E253" i="1" s="1"/>
  <c r="D254" i="1" s="1"/>
  <c r="D239" i="1"/>
  <c r="D238" i="1"/>
  <c r="D237" i="1"/>
  <c r="D236" i="1"/>
  <c r="D235" i="1"/>
  <c r="C235" i="1"/>
  <c r="E235" i="1" s="1"/>
  <c r="D234" i="1"/>
  <c r="D233" i="1"/>
  <c r="C233" i="1"/>
  <c r="E233" i="1" s="1"/>
  <c r="D232" i="1"/>
  <c r="D231" i="1"/>
  <c r="D240" i="1" s="1"/>
  <c r="C231" i="1"/>
  <c r="E223" i="1"/>
  <c r="E221" i="1"/>
  <c r="C221" i="1"/>
  <c r="C220" i="1"/>
  <c r="E220" i="1" s="1"/>
  <c r="C219" i="1"/>
  <c r="E215" i="1"/>
  <c r="C214" i="1"/>
  <c r="C209" i="1"/>
  <c r="D208" i="1"/>
  <c r="D203" i="1"/>
  <c r="E203" i="1" s="1"/>
  <c r="E199" i="1"/>
  <c r="C196" i="1"/>
  <c r="C195" i="1"/>
  <c r="C192" i="1"/>
  <c r="C208" i="1" s="1"/>
  <c r="E208" i="1" s="1"/>
  <c r="C191" i="1"/>
  <c r="C190" i="1"/>
  <c r="E187" i="1"/>
  <c r="E177" i="1"/>
  <c r="E175" i="1"/>
  <c r="E174" i="1"/>
  <c r="D174" i="1"/>
  <c r="E173" i="1"/>
  <c r="D173" i="1"/>
  <c r="E172" i="1"/>
  <c r="D172" i="1"/>
  <c r="E171" i="1"/>
  <c r="D171" i="1"/>
  <c r="E170" i="1"/>
  <c r="D176" i="1" s="1"/>
  <c r="D170" i="1"/>
  <c r="E169" i="1"/>
  <c r="D169" i="1"/>
  <c r="E164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D163" i="1" s="1"/>
  <c r="E141" i="1"/>
  <c r="C139" i="1"/>
  <c r="E139" i="1" s="1"/>
  <c r="D134" i="1"/>
  <c r="A134" i="1"/>
  <c r="A140" i="1" s="1"/>
  <c r="D133" i="1"/>
  <c r="A133" i="1"/>
  <c r="A139" i="1" s="1"/>
  <c r="E128" i="1"/>
  <c r="C128" i="1"/>
  <c r="D127" i="1"/>
  <c r="E127" i="1" s="1"/>
  <c r="F129" i="1" s="1"/>
  <c r="E21" i="1" s="1"/>
  <c r="C127" i="1"/>
  <c r="E121" i="1"/>
  <c r="E116" i="1"/>
  <c r="D116" i="1"/>
  <c r="C116" i="1"/>
  <c r="C113" i="1"/>
  <c r="D111" i="1"/>
  <c r="E111" i="1" s="1"/>
  <c r="C110" i="1"/>
  <c r="D107" i="1"/>
  <c r="C107" i="1"/>
  <c r="E107" i="1" s="1"/>
  <c r="D105" i="1"/>
  <c r="D104" i="1"/>
  <c r="E100" i="1"/>
  <c r="D92" i="1"/>
  <c r="E92" i="1" s="1"/>
  <c r="D91" i="1"/>
  <c r="E91" i="1" s="1"/>
  <c r="E89" i="1"/>
  <c r="D128" i="1" s="1"/>
  <c r="E85" i="1"/>
  <c r="C80" i="1"/>
  <c r="C78" i="1"/>
  <c r="E76" i="1"/>
  <c r="D76" i="1"/>
  <c r="C75" i="1"/>
  <c r="D72" i="1"/>
  <c r="C72" i="1"/>
  <c r="D70" i="1"/>
  <c r="D78" i="1" s="1"/>
  <c r="E78" i="1" s="1"/>
  <c r="E66" i="1"/>
  <c r="E61" i="1"/>
  <c r="E62" i="1" s="1"/>
  <c r="E60" i="1"/>
  <c r="D61" i="1" s="1"/>
  <c r="E51" i="1"/>
  <c r="A51" i="1"/>
  <c r="E47" i="1"/>
  <c r="A47" i="1"/>
  <c r="E46" i="1"/>
  <c r="A46" i="1"/>
  <c r="E45" i="1"/>
  <c r="A45" i="1"/>
  <c r="E44" i="1"/>
  <c r="A44" i="1"/>
  <c r="A38" i="1"/>
  <c r="E37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C28" i="2" l="1"/>
  <c r="C19" i="2"/>
  <c r="C25" i="2" s="1"/>
  <c r="C34" i="2" s="1"/>
  <c r="D63" i="1"/>
  <c r="D93" i="1"/>
  <c r="E93" i="1" s="1"/>
  <c r="D95" i="1" s="1"/>
  <c r="E95" i="1" s="1"/>
  <c r="E96" i="1" s="1"/>
  <c r="E36" i="1"/>
  <c r="C133" i="1"/>
  <c r="E133" i="1" s="1"/>
  <c r="E48" i="1"/>
  <c r="C176" i="1"/>
  <c r="E176" i="1" s="1"/>
  <c r="F177" i="1" s="1"/>
  <c r="C140" i="1"/>
  <c r="E140" i="1" s="1"/>
  <c r="C134" i="1"/>
  <c r="E134" i="1" s="1"/>
  <c r="C163" i="1"/>
  <c r="E163" i="1" s="1"/>
  <c r="F164" i="1" s="1"/>
  <c r="F179" i="1" s="1"/>
  <c r="E24" i="1" s="1"/>
  <c r="C205" i="1"/>
  <c r="D190" i="1"/>
  <c r="E190" i="1" s="1"/>
  <c r="D191" i="1" s="1"/>
  <c r="E191" i="1" s="1"/>
  <c r="D219" i="1"/>
  <c r="E231" i="1"/>
  <c r="C245" i="1"/>
  <c r="E245" i="1" s="1"/>
  <c r="F246" i="1" s="1"/>
  <c r="E31" i="1" s="1"/>
  <c r="C239" i="1"/>
  <c r="E239" i="1" s="1"/>
  <c r="E284" i="1"/>
  <c r="E72" i="1"/>
  <c r="D113" i="1"/>
  <c r="E113" i="1" s="1"/>
  <c r="D108" i="1"/>
  <c r="E108" i="1" s="1"/>
  <c r="D114" i="1" s="1"/>
  <c r="E114" i="1" s="1"/>
  <c r="D110" i="1"/>
  <c r="E104" i="1"/>
  <c r="E192" i="1"/>
  <c r="E219" i="1"/>
  <c r="D222" i="1" s="1"/>
  <c r="E222" i="1" s="1"/>
  <c r="F223" i="1" s="1"/>
  <c r="E29" i="1" s="1"/>
  <c r="C237" i="1"/>
  <c r="E237" i="1" s="1"/>
  <c r="E110" i="1"/>
  <c r="F141" i="1"/>
  <c r="E254" i="1"/>
  <c r="F255" i="1" s="1"/>
  <c r="E32" i="1" s="1"/>
  <c r="C33" i="3"/>
  <c r="C27" i="2" s="1"/>
  <c r="D75" i="1"/>
  <c r="E75" i="1" s="1"/>
  <c r="C272" i="1"/>
  <c r="C273" i="1" s="1"/>
  <c r="D274" i="1" s="1"/>
  <c r="E274" i="1" s="1"/>
  <c r="E275" i="1" s="1"/>
  <c r="D276" i="1" s="1"/>
  <c r="E276" i="1" s="1"/>
  <c r="F277" i="1" s="1"/>
  <c r="E283" i="1"/>
  <c r="E286" i="1" s="1"/>
  <c r="C26" i="3"/>
  <c r="C31" i="2" s="1"/>
  <c r="E70" i="1"/>
  <c r="D73" i="1"/>
  <c r="E73" i="1" s="1"/>
  <c r="D97" i="1" l="1"/>
  <c r="E23" i="1"/>
  <c r="F288" i="1"/>
  <c r="E33" i="1" s="1"/>
  <c r="F241" i="1"/>
  <c r="E30" i="1" s="1"/>
  <c r="C36" i="2"/>
  <c r="C32" i="2"/>
  <c r="C35" i="2"/>
  <c r="C29" i="2"/>
  <c r="F135" i="1"/>
  <c r="E22" i="1" s="1"/>
  <c r="D79" i="1"/>
  <c r="E79" i="1" s="1"/>
  <c r="E287" i="1"/>
  <c r="C210" i="1"/>
  <c r="D195" i="1"/>
  <c r="E195" i="1" s="1"/>
  <c r="D196" i="1" s="1"/>
  <c r="E196" i="1" s="1"/>
  <c r="E197" i="1" s="1"/>
  <c r="D198" i="1" s="1"/>
  <c r="E198" i="1" s="1"/>
  <c r="F199" i="1" s="1"/>
  <c r="C206" i="1"/>
  <c r="D207" i="1" s="1"/>
  <c r="E207" i="1" s="1"/>
  <c r="D80" i="1"/>
  <c r="E80" i="1" s="1"/>
  <c r="E81" i="1" s="1"/>
  <c r="E117" i="1"/>
  <c r="C30" i="2"/>
  <c r="D82" i="1" l="1"/>
  <c r="E27" i="1"/>
  <c r="C37" i="2"/>
  <c r="C211" i="1"/>
  <c r="D212" i="1" s="1"/>
  <c r="E212" i="1" s="1"/>
  <c r="E213" i="1" s="1"/>
  <c r="D214" i="1" s="1"/>
  <c r="E214" i="1" s="1"/>
  <c r="F215" i="1" s="1"/>
  <c r="D118" i="1"/>
  <c r="E28" i="1" l="1"/>
  <c r="F290" i="1"/>
  <c r="E25" i="1" s="1"/>
  <c r="C118" i="1"/>
  <c r="E118" i="1" s="1"/>
  <c r="E119" i="1" s="1"/>
  <c r="D120" i="1" s="1"/>
  <c r="E120" i="1" s="1"/>
  <c r="F121" i="1" s="1"/>
  <c r="C82" i="1"/>
  <c r="E82" i="1" s="1"/>
  <c r="E83" i="1" s="1"/>
  <c r="D84" i="1" s="1"/>
  <c r="E84" i="1" s="1"/>
  <c r="F85" i="1" s="1"/>
  <c r="E18" i="1" s="1"/>
  <c r="C63" i="1"/>
  <c r="E63" i="1" s="1"/>
  <c r="E64" i="1" s="1"/>
  <c r="D65" i="1" s="1"/>
  <c r="E65" i="1" s="1"/>
  <c r="F66" i="1" s="1"/>
  <c r="E17" i="1" s="1"/>
  <c r="C97" i="1"/>
  <c r="E97" i="1" s="1"/>
  <c r="E98" i="1" s="1"/>
  <c r="D99" i="1" s="1"/>
  <c r="E99" i="1" s="1"/>
  <c r="F100" i="1" s="1"/>
  <c r="E19" i="1" s="1"/>
  <c r="E26" i="1"/>
  <c r="E20" i="1" l="1"/>
  <c r="F143" i="1"/>
  <c r="F313" i="1" l="1"/>
  <c r="E16" i="1"/>
  <c r="D336" i="1" l="1"/>
  <c r="E336" i="1" s="1"/>
  <c r="F338" i="1" s="1"/>
  <c r="F340" i="1" s="1"/>
  <c r="E38" i="1" s="1"/>
  <c r="F343" i="1"/>
  <c r="E39" i="1" l="1"/>
  <c r="F37" i="1" l="1"/>
  <c r="F34" i="1"/>
  <c r="F35" i="1"/>
  <c r="F21" i="1"/>
  <c r="F32" i="1"/>
  <c r="F24" i="1"/>
  <c r="F36" i="1"/>
  <c r="F31" i="1"/>
  <c r="F29" i="1"/>
  <c r="F23" i="1"/>
  <c r="F22" i="1"/>
  <c r="F33" i="1"/>
  <c r="F30" i="1"/>
  <c r="F27" i="1"/>
  <c r="F18" i="1"/>
  <c r="F19" i="1"/>
  <c r="F26" i="1"/>
  <c r="F17" i="1"/>
  <c r="F25" i="1"/>
  <c r="F28" i="1"/>
  <c r="F20" i="1"/>
  <c r="F16" i="1"/>
  <c r="F38" i="1"/>
  <c r="F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A14" authorId="0" shapeId="0" xr:uid="{00000000-0006-0000-0000-000001000000}">
      <text>
        <r>
          <rPr>
            <sz val="10"/>
            <rFont val="Arial"/>
            <family val="2"/>
          </rPr>
          <t xml:space="preserve">Qualquer custo previsto no edital e não contemplado nesta planilha modelo deverá ser devidamente incluído
</t>
        </r>
      </text>
    </comment>
    <comment ref="B54" authorId="0" shapeId="0" xr:uid="{00000000-0006-0000-0000-000006000000}">
      <text>
        <r>
          <rPr>
            <sz val="10"/>
            <rFont val="Arial"/>
            <family val="2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60" authorId="0" shapeId="0" xr:uid="{00000000-0006-0000-0000-00004C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C63" authorId="0" shapeId="0" xr:uid="{00000000-0006-0000-0000-000008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65" authorId="0" shapeId="0" xr:uid="{00000000-0006-0000-0000-000009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71" authorId="0" shapeId="0" xr:uid="{00000000-0006-0000-0000-00000A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73" authorId="0" shapeId="0" xr:uid="{00000000-0006-0000-0000-00000B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74" authorId="0" shapeId="0" xr:uid="{00000000-0006-0000-0000-00000C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 xr:uid="{00000000-0006-0000-0000-00000D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77" authorId="0" shapeId="0" xr:uid="{00000000-0006-0000-0000-00000E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79" authorId="0" shapeId="0" xr:uid="{00000000-0006-0000-0000-000002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2" authorId="0" shapeId="0" xr:uid="{00000000-0006-0000-0000-00000F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84" authorId="0" shapeId="0" xr:uid="{00000000-0006-0000-0000-000010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89" authorId="0" shapeId="0" xr:uid="{00000000-0006-0000-0000-00004D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D90" authorId="0" shapeId="0" xr:uid="{00000000-0006-0000-0000-00004E000000}">
      <text>
        <r>
          <rPr>
            <sz val="10"/>
            <rFont val="Arial"/>
            <family val="2"/>
          </rPr>
          <t>Informar o valor do salário Mínimo Nacional</t>
        </r>
      </text>
    </comment>
    <comment ref="C91" authorId="0" shapeId="0" xr:uid="{00000000-0006-0000-0000-000011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92" authorId="0" shapeId="0" xr:uid="{00000000-0006-0000-0000-000012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93" authorId="0" shapeId="0" xr:uid="{00000000-0006-0000-0000-000003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4" authorId="0" shapeId="0" xr:uid="{00000000-0006-0000-0000-000013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 xr:uid="{00000000-0006-0000-0000-000014000000}">
      <text>
        <r>
          <rPr>
            <sz val="10"/>
            <rFont val="Arial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 xr:uid="{00000000-0006-0000-0000-000015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99" authorId="0" shapeId="0" xr:uid="{00000000-0006-0000-0000-000016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106" authorId="0" shapeId="0" xr:uid="{00000000-0006-0000-0000-000017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108" authorId="0" shapeId="0" xr:uid="{00000000-0006-0000-0000-000018000000}">
      <text>
        <r>
          <rPr>
            <sz val="10"/>
            <rFont val="Arial"/>
            <family val="2"/>
          </rPr>
          <t>Informar o número de horas extras trabalhadas em horário noturno nos domingos e feriados</t>
        </r>
      </text>
    </comment>
    <comment ref="C109" authorId="0" shapeId="0" xr:uid="{00000000-0006-0000-0000-000019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 xr:uid="{00000000-0006-0000-0000-00001A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112" authorId="0" shapeId="0" xr:uid="{00000000-0006-0000-0000-00001B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114" authorId="0" shapeId="0" xr:uid="{00000000-0006-0000-0000-000004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5" authorId="0" shapeId="0" xr:uid="{00000000-0006-0000-0000-00001C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 xr:uid="{00000000-0006-0000-0000-00001D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20" authorId="0" shapeId="0" xr:uid="{00000000-0006-0000-0000-00001E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125" authorId="0" shapeId="0" xr:uid="{00000000-0006-0000-0000-00004F000000}">
      <text>
        <r>
          <rPr>
            <sz val="10"/>
            <rFont val="Arial"/>
            <family val="2"/>
          </rPr>
          <t>Informar o valor unitário do VT no município</t>
        </r>
      </text>
    </comment>
    <comment ref="C126" authorId="0" shapeId="0" xr:uid="{00000000-0006-0000-0000-00001F000000}">
      <text>
        <r>
          <rPr>
            <sz val="10"/>
            <rFont val="Arial"/>
            <family val="2"/>
          </rPr>
          <t>Informar o número médio de dias trabalhados por mês</t>
        </r>
      </text>
    </comment>
    <comment ref="D127" authorId="0" shapeId="0" xr:uid="{00000000-0006-0000-0000-000050000000}">
      <text>
        <r>
          <rPr>
            <sz val="10"/>
            <rFont val="Arial"/>
            <family val="2"/>
          </rPr>
          <t>Valor Unitário considerando o desconto legal de até 6% do salário</t>
        </r>
      </text>
    </comment>
    <comment ref="D128" authorId="0" shapeId="0" xr:uid="{00000000-0006-0000-0000-000051000000}">
      <text>
        <r>
          <rPr>
            <sz val="10"/>
            <rFont val="Arial"/>
            <family val="2"/>
          </rPr>
          <t xml:space="preserve">Valor Unitário considerando o desconto legal de até 6% do salário
</t>
        </r>
      </text>
    </comment>
    <comment ref="D133" authorId="0" shapeId="0" xr:uid="{00000000-0006-0000-0000-000052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 xr:uid="{00000000-0006-0000-0000-000053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 xr:uid="{00000000-0006-0000-0000-000054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 xr:uid="{00000000-0006-0000-0000-000055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 xr:uid="{00000000-0006-0000-0000-000020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0" authorId="0" shapeId="0" xr:uid="{00000000-0006-0000-0000-000056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1" authorId="0" shapeId="0" xr:uid="{00000000-0006-0000-0000-000021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1" authorId="0" shapeId="0" xr:uid="{00000000-0006-0000-0000-000057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2" authorId="0" shapeId="0" xr:uid="{00000000-0006-0000-0000-000022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2" authorId="0" shapeId="0" xr:uid="{00000000-0006-0000-0000-000058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3" authorId="0" shapeId="0" xr:uid="{00000000-0006-0000-0000-000023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3" authorId="0" shapeId="0" xr:uid="{00000000-0006-0000-0000-000059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4" authorId="0" shapeId="0" xr:uid="{00000000-0006-0000-0000-000024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4" authorId="0" shapeId="0" xr:uid="{00000000-0006-0000-0000-00005A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5" authorId="0" shapeId="0" xr:uid="{00000000-0006-0000-0000-000025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5" authorId="0" shapeId="0" xr:uid="{00000000-0006-0000-0000-00005B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6" authorId="0" shapeId="0" xr:uid="{00000000-0006-0000-0000-000026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6" authorId="0" shapeId="0" xr:uid="{00000000-0006-0000-0000-00005C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60" authorId="0" shapeId="0" xr:uid="{00000000-0006-0000-0000-000027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0" authorId="0" shapeId="0" xr:uid="{00000000-0006-0000-0000-00005D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61" authorId="0" shapeId="0" xr:uid="{00000000-0006-0000-0000-000028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1" authorId="0" shapeId="0" xr:uid="{00000000-0006-0000-0000-00005E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D162" authorId="0" shapeId="0" xr:uid="{00000000-0006-0000-0000-00005F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C169" authorId="0" shapeId="0" xr:uid="{00000000-0006-0000-0000-000029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0" authorId="0" shapeId="0" xr:uid="{00000000-0006-0000-0000-00002A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1" authorId="0" shapeId="0" xr:uid="{00000000-0006-0000-0000-00002B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2" authorId="0" shapeId="0" xr:uid="{00000000-0006-0000-0000-00002C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3" authorId="0" shapeId="0" xr:uid="{00000000-0006-0000-0000-00002D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4" authorId="0" shapeId="0" xr:uid="{00000000-0006-0000-0000-00002E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75" authorId="0" shapeId="0" xr:uid="{00000000-0006-0000-0000-000060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D187" authorId="0" shapeId="0" xr:uid="{00000000-0006-0000-0000-000061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188" authorId="0" shapeId="0" xr:uid="{00000000-0006-0000-0000-00002F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189" authorId="0" shapeId="0" xr:uid="{00000000-0006-0000-0000-000030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190" authorId="0" shapeId="0" xr:uid="{00000000-0006-0000-0000-000031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D192" authorId="0" shapeId="0" xr:uid="{00000000-0006-0000-0000-000062000000}">
      <text>
        <r>
          <rPr>
            <sz val="10"/>
            <rFont val="Arial"/>
            <family val="2"/>
          </rPr>
          <t xml:space="preserve">Informar o preço unitário do equipamento compactador
</t>
        </r>
      </text>
    </comment>
    <comment ref="C193" authorId="0" shapeId="0" xr:uid="{00000000-0006-0000-0000-000032000000}">
      <text>
        <r>
          <rPr>
            <sz val="10"/>
            <rFont val="Arial"/>
            <family val="2"/>
          </rPr>
          <t>Informar a vida útil estimada para o compactador, em anos</t>
        </r>
      </text>
    </comment>
    <comment ref="C194" authorId="0" shapeId="0" xr:uid="{00000000-0006-0000-0000-000033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compactador proposto.</t>
        </r>
      </text>
    </comment>
    <comment ref="C195" authorId="0" shapeId="0" xr:uid="{00000000-0006-0000-0000-000034000000}">
      <text>
        <r>
          <rPr>
            <sz val="10"/>
            <rFont val="Arial"/>
            <family val="2"/>
          </rPr>
          <t xml:space="preserve">Informar o valor da depreciação do compactador, adotando o valor sugerido pelo TCE ou outro valor estimado 
</t>
        </r>
      </text>
    </comment>
    <comment ref="C198" authorId="0" shapeId="0" xr:uid="{00000000-0006-0000-0000-000035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04" authorId="0" shapeId="0" xr:uid="{00000000-0006-0000-0000-000036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D220" authorId="0" shapeId="0" xr:uid="{00000000-0006-0000-0000-000063000000}">
      <text>
        <r>
          <rPr>
            <sz val="10"/>
            <rFont val="Arial"/>
            <family val="2"/>
          </rPr>
          <t xml:space="preserve">Informar o valor do seguro obrigatório e licenciamento anual de um caminhão
</t>
        </r>
      </text>
    </comment>
    <comment ref="D221" authorId="0" shapeId="0" xr:uid="{00000000-0006-0000-0000-000064000000}">
      <text>
        <r>
          <rPr>
            <sz val="10"/>
            <rFont val="Arial"/>
            <family val="2"/>
          </rPr>
          <t xml:space="preserve">Informar o valor do seguro contra terceiros de um caminhão, se houver previsão no Projeto Básico
</t>
        </r>
      </text>
    </comment>
    <comment ref="B227" authorId="0" shapeId="0" xr:uid="{00000000-0006-0000-0000-000007000000}">
      <text>
        <r>
          <rPr>
            <sz val="10"/>
            <rFont val="Arial"/>
            <family val="2"/>
          </rPr>
          <t xml:space="preserve">Informar a quilometragem mensal percorrida, de acordo com o projeto básico
</t>
        </r>
      </text>
    </comment>
    <comment ref="C230" authorId="0" shapeId="0" xr:uid="{00000000-0006-0000-0000-000037000000}">
      <text>
        <r>
          <rPr>
            <sz val="10"/>
            <rFont val="Arial"/>
            <family val="2"/>
          </rPr>
          <t>Informar o consumo estimado do veículo em km/l</t>
        </r>
      </text>
    </comment>
    <comment ref="D230" authorId="0" shapeId="0" xr:uid="{00000000-0006-0000-0000-000065000000}">
      <text>
        <r>
          <rPr>
            <sz val="10"/>
            <rFont val="Arial"/>
            <family val="2"/>
          </rPr>
          <t xml:space="preserve">Informar o preço unitário do combustivel
</t>
        </r>
      </text>
    </comment>
    <comment ref="C232" authorId="0" shapeId="0" xr:uid="{00000000-0006-0000-0000-000038000000}">
      <text>
        <r>
          <rPr>
            <sz val="10"/>
            <rFont val="Arial"/>
            <family val="2"/>
          </rPr>
          <t>Informar o consumo de óleo do motor a cada 1000km</t>
        </r>
      </text>
    </comment>
    <comment ref="D232" authorId="0" shapeId="0" xr:uid="{00000000-0006-0000-0000-000066000000}">
      <text>
        <r>
          <rPr>
            <sz val="10"/>
            <rFont val="Arial"/>
            <family val="2"/>
          </rPr>
          <t xml:space="preserve">Informar o preço unitário do litro do óleo do motor
</t>
        </r>
      </text>
    </comment>
    <comment ref="C234" authorId="0" shapeId="0" xr:uid="{00000000-0006-0000-0000-000039000000}">
      <text>
        <r>
          <rPr>
            <sz val="10"/>
            <rFont val="Arial"/>
            <family val="2"/>
          </rPr>
          <t>Informar o consumo de óleo da transmissão a cada 1000km</t>
        </r>
      </text>
    </comment>
    <comment ref="D234" authorId="0" shapeId="0" xr:uid="{00000000-0006-0000-0000-000067000000}">
      <text>
        <r>
          <rPr>
            <sz val="10"/>
            <rFont val="Arial"/>
            <family val="2"/>
          </rPr>
          <t xml:space="preserve">Informar o preço unitário do litro do óleo da transmissão
</t>
        </r>
      </text>
    </comment>
    <comment ref="C236" authorId="0" shapeId="0" xr:uid="{00000000-0006-0000-0000-00003A000000}">
      <text>
        <r>
          <rPr>
            <sz val="10"/>
            <rFont val="Arial"/>
            <family val="2"/>
          </rPr>
          <t>Informar o consumo de óleo hidráulico a cada 1000km</t>
        </r>
      </text>
    </comment>
    <comment ref="D236" authorId="0" shapeId="0" xr:uid="{00000000-0006-0000-0000-000068000000}">
      <text>
        <r>
          <rPr>
            <sz val="10"/>
            <rFont val="Arial"/>
            <family val="2"/>
          </rPr>
          <t xml:space="preserve">Informar o preço unitário do litro do óleo hidráulico
</t>
        </r>
      </text>
    </comment>
    <comment ref="C238" authorId="0" shapeId="0" xr:uid="{00000000-0006-0000-0000-00003B000000}">
      <text>
        <r>
          <rPr>
            <sz val="10"/>
            <rFont val="Arial"/>
            <family val="2"/>
          </rPr>
          <t>Informar o consumo de graxa a cada 1000km</t>
        </r>
      </text>
    </comment>
    <comment ref="D238" authorId="0" shapeId="0" xr:uid="{00000000-0006-0000-0000-000069000000}">
      <text>
        <r>
          <rPr>
            <sz val="10"/>
            <rFont val="Arial"/>
            <family val="2"/>
          </rPr>
          <t xml:space="preserve">Informar o preço unitário do litro da graxa
</t>
        </r>
      </text>
    </comment>
    <comment ref="D245" authorId="0" shapeId="0" xr:uid="{00000000-0006-0000-0000-00006A000000}">
      <text>
        <r>
          <rPr>
            <sz val="10"/>
            <rFont val="Arial"/>
            <family val="2"/>
          </rPr>
          <t xml:space="preserve">Informar o custo de manutenção em R$/km rodado
</t>
        </r>
      </text>
    </comment>
    <comment ref="C250" authorId="0" shapeId="0" xr:uid="{00000000-0006-0000-0000-00003C000000}">
      <text>
        <r>
          <rPr>
            <sz val="10"/>
            <rFont val="Arial"/>
            <family val="2"/>
          </rPr>
          <t>Informar a quantidade de pneus novos de 1 caminhão</t>
        </r>
      </text>
    </comment>
    <comment ref="D250" authorId="0" shapeId="0" xr:uid="{00000000-0006-0000-0000-00006B000000}">
      <text>
        <r>
          <rPr>
            <sz val="10"/>
            <rFont val="Arial"/>
            <family val="2"/>
          </rPr>
          <t xml:space="preserve">Informar o preço unitário de cada pneu
</t>
        </r>
      </text>
    </comment>
    <comment ref="C251" authorId="0" shapeId="0" xr:uid="{00000000-0006-0000-0000-00003D000000}">
      <text>
        <r>
          <rPr>
            <sz val="10"/>
            <rFont val="Arial"/>
            <family val="2"/>
          </rPr>
          <t>Informar o número de recapagens por pneu</t>
        </r>
      </text>
    </comment>
    <comment ref="D252" authorId="0" shapeId="0" xr:uid="{00000000-0006-0000-0000-00006C000000}">
      <text>
        <r>
          <rPr>
            <sz val="10"/>
            <rFont val="Arial"/>
            <family val="2"/>
          </rPr>
          <t xml:space="preserve">Informar o preço unitário de cada recapagem
</t>
        </r>
      </text>
    </comment>
    <comment ref="C253" authorId="0" shapeId="0" xr:uid="{00000000-0006-0000-0000-00003E000000}">
      <text>
        <r>
          <rPr>
            <sz val="10"/>
            <rFont val="Arial"/>
            <family val="2"/>
          </rPr>
          <t xml:space="preserve">Informar a durabilidade média dos pneus considerando todas as recapagens, em km
</t>
        </r>
      </text>
    </comment>
    <comment ref="D259" authorId="0" shapeId="0" xr:uid="{00000000-0006-0000-0000-00006D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260" authorId="0" shapeId="0" xr:uid="{00000000-0006-0000-0000-00003F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261" authorId="0" shapeId="0" xr:uid="{00000000-0006-0000-0000-000040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262" authorId="0" shapeId="0" xr:uid="{00000000-0006-0000-0000-000041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C265" authorId="0" shapeId="0" xr:uid="{00000000-0006-0000-0000-000042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71" authorId="0" shapeId="0" xr:uid="{00000000-0006-0000-0000-000043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C282" authorId="0" shapeId="0" xr:uid="{00000000-0006-0000-0000-000044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C295" authorId="0" shapeId="0" xr:uid="{00000000-0006-0000-0000-000045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5" authorId="0" shapeId="0" xr:uid="{00000000-0006-0000-0000-00006E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6" authorId="0" shapeId="0" xr:uid="{00000000-0006-0000-0000-000046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6" authorId="0" shapeId="0" xr:uid="{00000000-0006-0000-0000-00006F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7" authorId="0" shapeId="0" xr:uid="{00000000-0006-0000-0000-000047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7" authorId="0" shapeId="0" xr:uid="{00000000-0006-0000-0000-000070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8" authorId="0" shapeId="0" xr:uid="{00000000-0006-0000-0000-000048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8" authorId="0" shapeId="0" xr:uid="{00000000-0006-0000-0000-000071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9" authorId="0" shapeId="0" xr:uid="{00000000-0006-0000-0000-000049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9" authorId="0" shapeId="0" xr:uid="{00000000-0006-0000-0000-000072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A304" authorId="0" shapeId="0" xr:uid="{00000000-0006-0000-0000-000005000000}">
      <text>
        <r>
          <rPr>
            <sz val="10"/>
            <rFont val="Arial"/>
            <family val="2"/>
          </rPr>
          <t xml:space="preserve">Especificar somente quando for exigido no Projeto Básico
</t>
        </r>
      </text>
    </comment>
    <comment ref="D307" authorId="0" shapeId="0" xr:uid="{00000000-0006-0000-0000-000073000000}">
      <text>
        <r>
          <rPr>
            <sz val="10"/>
            <rFont val="Arial"/>
            <family val="2"/>
          </rPr>
          <t>Informar o valor unitário mensal para manutenção dos equipamentos de monitoramento</t>
        </r>
      </text>
    </comment>
    <comment ref="C318" authorId="0" shapeId="0" xr:uid="{00000000-0006-0000-0000-00004A000000}">
      <text>
        <r>
          <rPr>
            <sz val="10"/>
            <rFont val="Arial"/>
            <family val="2"/>
          </rPr>
          <t xml:space="preserve">Inserir a quantidade estimada de resíduos não recicláveis mensais encaminhados para o aterro sanitário.
</t>
        </r>
      </text>
    </comment>
    <comment ref="D318" authorId="0" shapeId="0" xr:uid="{00000000-0006-0000-0000-000074000000}">
      <text>
        <r>
          <rPr>
            <sz val="10"/>
            <rFont val="Arial"/>
            <family val="2"/>
          </rPr>
          <t>Informar o valor pago por tonelada para a destinação final dos resíduos não recicláveis.</t>
        </r>
      </text>
    </comment>
    <comment ref="D328" authorId="0" shapeId="0" xr:uid="{00000000-0006-0000-0000-000075000000}">
      <text>
        <r>
          <rPr>
            <sz val="10"/>
            <rFont val="Arial"/>
            <family val="2"/>
          </rPr>
          <t>Informar o valor pago por tonelada para a destinação final dos resíduos não recicláveis.</t>
        </r>
      </text>
    </comment>
    <comment ref="C336" authorId="0" shapeId="0" xr:uid="{00000000-0006-0000-0000-00004B000000}">
      <text>
        <r>
          <rPr>
            <sz val="10"/>
            <rFont val="Arial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3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3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3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3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3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3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4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4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4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4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4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4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4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700-000001000000}">
      <text>
        <r>
          <rPr>
            <sz val="10"/>
            <rFont val="Arial"/>
            <family val="2"/>
          </rPr>
          <t>Informar a população do município a ser atendida</t>
        </r>
      </text>
    </comment>
    <comment ref="C13" authorId="0" shapeId="0" xr:uid="{00000000-0006-0000-0700-000002000000}">
      <text>
        <r>
          <rPr>
            <sz val="10"/>
            <rFont val="Arial"/>
            <family val="2"/>
          </rPr>
          <t>Caso o município possua informações de pesagem, ajustar com o valor da geração média per capita realizada nos últimos 12 meses</t>
        </r>
      </text>
    </comment>
    <comment ref="C14" authorId="0" shapeId="0" xr:uid="{00000000-0006-0000-0700-000003000000}">
      <text>
        <r>
          <rPr>
            <sz val="10"/>
            <rFont val="Arial"/>
            <family val="2"/>
          </rPr>
          <t>retorna a geração diária a ser recolhida</t>
        </r>
      </text>
    </comment>
    <comment ref="C16" authorId="0" shapeId="0" xr:uid="{00000000-0006-0000-0700-000004000000}">
      <text>
        <r>
          <rPr>
            <sz val="10"/>
            <rFont val="Arial"/>
            <family val="2"/>
          </rPr>
          <t>Informe o número de dias de coleta por semana</t>
        </r>
      </text>
    </comment>
    <comment ref="C19" authorId="0" shapeId="0" xr:uid="{00000000-0006-0000-0700-000005000000}">
      <text>
        <r>
          <rPr>
            <sz val="10"/>
            <rFont val="Arial"/>
            <family val="2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20" authorId="0" shapeId="0" xr:uid="{00000000-0006-0000-0700-000006000000}">
      <text>
        <r>
          <rPr>
            <sz val="10"/>
            <rFont val="Arial"/>
            <family val="2"/>
          </rPr>
          <t>Informar a capacidade do compactador em m³</t>
        </r>
      </text>
    </comment>
    <comment ref="C23" authorId="0" shapeId="0" xr:uid="{00000000-0006-0000-0700-000007000000}">
      <text>
        <r>
          <rPr>
            <sz val="10"/>
            <rFont val="Arial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<sst xmlns="http://schemas.openxmlformats.org/spreadsheetml/2006/main" count="691" uniqueCount="347">
  <si>
    <t>Estado do Rio Grande do Sul</t>
  </si>
  <si>
    <t>Município de Ibiraiaras</t>
  </si>
  <si>
    <t xml:space="preserve">1. Coleta de Resíduos Sólidos 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</si>
  <si>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</si>
  <si>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</si>
  <si>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</si>
  <si>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</si>
  <si>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</si>
  <si>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</si>
  <si>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</si>
  <si>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</si>
  <si>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</si>
  <si>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</si>
  <si>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</si>
  <si>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</si>
  <si>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</si>
  <si>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r>
      <rPr>
        <b/>
        <sz val="8"/>
        <rFont val="Arial"/>
        <family val="2"/>
        <charset val="1"/>
      </rPr>
      <t>COLETORES</t>
    </r>
    <r>
      <rPr>
        <sz val="8"/>
        <rFont val="Arial"/>
        <family val="2"/>
        <charset val="1"/>
      </rPr>
      <t>: CONVENÇÃO COLETIVA DE TRABALHO 2024/2024. NÚMERO DE REGISTRO NO MTE:RS004922/2023</t>
    </r>
  </si>
  <si>
    <r>
      <rPr>
        <b/>
        <sz val="8"/>
        <rFont val="Arial"/>
        <family val="2"/>
        <charset val="1"/>
      </rPr>
      <t>MOTORISTAS</t>
    </r>
    <r>
      <rPr>
        <sz val="8"/>
        <rFont val="Arial"/>
        <family val="2"/>
        <charset val="1"/>
      </rPr>
      <t xml:space="preserve">: CONVENÇÃO COLETIVA DE TRABALHO 2023/2024. NÚMERO DE REGISTRO NO MTE: RS001552/2023 </t>
    </r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</si>
  <si>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</si>
  <si>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</si>
  <si>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</si>
  <si>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</si>
  <si>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</si>
  <si>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</si>
  <si>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</si>
  <si>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</si>
  <si>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</si>
  <si>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</si>
  <si>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</si>
  <si>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</si>
  <si>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</si>
  <si>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</si>
  <si>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</si>
  <si>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</si>
  <si>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</si>
  <si>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</si>
  <si>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</si>
  <si>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(100%)</t>
  </si>
  <si>
    <t>hora</t>
  </si>
  <si>
    <t>Excluir esta linha caso a contratação não tenha previsão de horas extras 100% explícita no edital</t>
  </si>
  <si>
    <t>Horas Extras Noturnas (100%)</t>
  </si>
  <si>
    <t>Excluir esta linha caso a contratação não tenha previsão de horas extras noturnas 100% explícita no edital</t>
  </si>
  <si>
    <t>Horas Extras (50%)</t>
  </si>
  <si>
    <t>Excluir esta linha caso a contratação não tenha previsão de horas extras 50% explícita no edital</t>
  </si>
  <si>
    <t>Horas Extras Noturnas (50%)</t>
  </si>
  <si>
    <t>Excluir esta linha caso a contratação não tenha previsão de horas extras noturnas 50% explícita no edital</t>
  </si>
  <si>
    <t>Descanso Semanal Remunerado (DSR) - hora extra</t>
  </si>
  <si>
    <t>R$</t>
  </si>
  <si>
    <t>Excluir esta linha caso a contratação não tenha previsão de horas extras explícita no edital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</si>
  <si>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</si>
  <si>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</si>
  <si>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</si>
  <si>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</si>
  <si>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</si>
  <si>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>1.4. Motorista Turno Noite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</si>
  <si>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</si>
  <si>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</si>
  <si>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</si>
  <si>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</si>
  <si>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</si>
  <si>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</si>
  <si>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</si>
  <si>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</si>
  <si>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</si>
  <si>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1.7. Auxílio Alimentação (mensal)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</si>
  <si>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</si>
  <si>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</si>
  <si>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</si>
  <si>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</si>
  <si>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</si>
  <si>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</si>
  <si>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</si>
  <si>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</si>
  <si>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</si>
  <si>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</si>
  <si>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</si>
  <si>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</si>
  <si>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Óculos de proteção</t>
  </si>
  <si>
    <t>Respirador</t>
  </si>
  <si>
    <t>Protetor auricular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</si>
  <si>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</si>
  <si>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</si>
  <si>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</si>
  <si>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</si>
  <si>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</si>
  <si>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</si>
  <si>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t>Custo Mensal com Uniformes e EPIs (R$/mês)</t>
  </si>
  <si>
    <t>3. Veículos e Equipamentos</t>
  </si>
  <si>
    <r>
      <rPr>
        <sz val="10"/>
        <rFont val="Arial"/>
        <family val="2"/>
        <charset val="1"/>
      </rPr>
      <t>3.1. Veículo Coletor Compactador</t>
    </r>
    <r>
      <rPr>
        <sz val="10"/>
        <color rgb="FFFF0000"/>
        <rFont val="Arial"/>
        <family val="2"/>
        <charset val="1"/>
      </rPr>
      <t xml:space="preserve"> 12</t>
    </r>
    <r>
      <rPr>
        <sz val="10"/>
        <rFont val="Arial"/>
        <family val="2"/>
        <charset val="1"/>
      </rPr>
      <t xml:space="preserve"> m³</t>
    </r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</si>
  <si>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</si>
  <si>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</si>
  <si>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</si>
  <si>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</si>
  <si>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</si>
  <si>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</si>
  <si>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</si>
  <si>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</si>
  <si>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</si>
  <si>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</si>
  <si>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</si>
  <si>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</si>
  <si>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</si>
  <si>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</si>
  <si>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</si>
  <si>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</si>
  <si>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</si>
  <si>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</si>
  <si>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</si>
  <si>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</si>
  <si>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</si>
  <si>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</si>
  <si>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</si>
  <si>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</si>
  <si>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</si>
  <si>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</si>
  <si>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</si>
  <si>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</si>
  <si>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</si>
  <si>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</si>
  <si>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 para coleta urbana e transporte até a destinação final</t>
  </si>
  <si>
    <t>Consumo</t>
  </si>
  <si>
    <t>Custo de óleo diesel / km rodado</t>
  </si>
  <si>
    <t>km/l</t>
  </si>
  <si>
    <r>
      <rPr>
        <sz val="10"/>
        <rFont val="Arial"/>
        <family val="2"/>
        <charset val="1"/>
      </rPr>
      <t>Custo mensal com óleo diesel</t>
    </r>
    <r>
      <rPr>
        <sz val="10"/>
        <color rgb="FFFF0000"/>
        <rFont val="Arial"/>
        <family val="2"/>
        <charset val="1"/>
      </rPr>
      <t xml:space="preserve"> - para coleta na área urbana e transporte até destinação final</t>
    </r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</si>
  <si>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</si>
  <si>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</si>
  <si>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</si>
  <si>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</si>
  <si>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</si>
  <si>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</si>
  <si>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</si>
  <si>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</si>
  <si>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</si>
  <si>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</si>
  <si>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</si>
  <si>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</si>
  <si>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</si>
  <si>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</si>
  <si>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</si>
  <si>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</si>
  <si>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275/80R22,5</t>
  </si>
  <si>
    <t>Número de recapagens por pneu</t>
  </si>
  <si>
    <t>Custo de recapagem</t>
  </si>
  <si>
    <r>
      <rPr>
        <sz val="10"/>
        <rFont val="Arial"/>
        <family val="2"/>
        <charset val="1"/>
      </rPr>
      <t xml:space="preserve">Custo jg. compl. + </t>
    </r>
    <r>
      <rPr>
        <sz val="10"/>
        <color rgb="FFFF0000"/>
        <rFont val="Arial"/>
        <family val="2"/>
        <charset val="1"/>
      </rPr>
      <t xml:space="preserve">3 </t>
    </r>
    <r>
      <rPr>
        <sz val="10"/>
        <rFont val="Arial"/>
        <family val="2"/>
        <charset val="1"/>
      </rPr>
      <t>recap./ km rodado</t>
    </r>
  </si>
  <si>
    <t>km/jogo</t>
  </si>
  <si>
    <t>Custo mensal com pneus</t>
  </si>
  <si>
    <t>3.2. Locação de Containers</t>
  </si>
  <si>
    <t>3.2.1 Depreciação</t>
  </si>
  <si>
    <t>Custo de aquisição do container</t>
  </si>
  <si>
    <t>Vida útil do container</t>
  </si>
  <si>
    <t>Idade do container</t>
  </si>
  <si>
    <t>Depreciação</t>
  </si>
  <si>
    <t>Depreciação mensal containers</t>
  </si>
  <si>
    <t>Total por container</t>
  </si>
  <si>
    <t>Total do conjunto</t>
  </si>
  <si>
    <t>3.2.2. Remuneração do Capital</t>
  </si>
  <si>
    <t>Custo do Container</t>
  </si>
  <si>
    <t>Valor do container proposto (V0)</t>
  </si>
  <si>
    <t>Investimento médio total do container</t>
  </si>
  <si>
    <t>Remuneração mensal de capital do container</t>
  </si>
  <si>
    <t>Total por Container</t>
  </si>
  <si>
    <t>3.2.3. Higienização mensal dos containers</t>
  </si>
  <si>
    <t>Transporte dos containers</t>
  </si>
  <si>
    <t>Fator mês</t>
  </si>
  <si>
    <t>Custo de lavagem (instalações, luz, água)</t>
  </si>
  <si>
    <t>Produtos para higienização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</si>
  <si>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</si>
  <si>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</si>
  <si>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</si>
  <si>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</si>
  <si>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</si>
  <si>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</si>
  <si>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</si>
  <si>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</si>
  <si>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</si>
  <si>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</si>
  <si>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Rastreamento e monitoramento de veículos por sistema GPS/GSM/GPRS</t>
  </si>
  <si>
    <t>Custo mensal com rastreamento</t>
  </si>
  <si>
    <t>Custo Mensal com Monitoramento da Frota (R$/mês)</t>
  </si>
  <si>
    <t>CUSTO TOTAL MENSAL COM DESPESAS OPERACIONAIS (R$/mês)</t>
  </si>
  <si>
    <t>6. Destinação final</t>
  </si>
  <si>
    <t>Quantidade mensal</t>
  </si>
  <si>
    <t>Quantidade média de resíduos não recicláveis.</t>
  </si>
  <si>
    <t>Toneladas</t>
  </si>
  <si>
    <t>Custo Mensal com destinação final (R$/mês)</t>
  </si>
  <si>
    <t>7. Pesagem</t>
  </si>
  <si>
    <t>Pesagem do caminhão antes e depois de cada coleta</t>
  </si>
  <si>
    <t>unid</t>
  </si>
  <si>
    <t>Custo Mensal com pesagem (R$/mês)</t>
  </si>
  <si>
    <t>8. Benefícios e Despesas Indiretas - BDI</t>
  </si>
  <si>
    <t>Benefícios e despesas indiretas - geral</t>
  </si>
  <si>
    <t>Benefícios e despesas indiretas (2) - destinação final e pesagem</t>
  </si>
  <si>
    <t>CUSTO MENSAL COM BDI (R$/mês)</t>
  </si>
  <si>
    <t>PREÇO MENSAL TOTAL (R$/mês)</t>
  </si>
  <si>
    <t>Ibiraiaras, março de 2024.</t>
  </si>
  <si>
    <t>________________________________</t>
  </si>
  <si>
    <t>Pâmela Hentz Cappellari</t>
  </si>
  <si>
    <t>Eng.ª Civil – CREA RS 231775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</si>
  <si>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</si>
  <si>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</si>
  <si>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</si>
  <si>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</si>
  <si>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</si>
  <si>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</si>
  <si>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</si>
  <si>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</si>
  <si>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</si>
  <si>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</si>
  <si>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</si>
  <si>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</si>
  <si>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</si>
  <si>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</si>
  <si>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</si>
  <si>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</si>
  <si>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</si>
  <si>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</si>
  <si>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</si>
  <si>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</si>
  <si>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</si>
  <si>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</si>
  <si>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</si>
  <si>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</si>
  <si>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</si>
  <si>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</si>
  <si>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</si>
  <si>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</si>
  <si>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</si>
  <si>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</si>
  <si>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</si>
  <si>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</si>
  <si>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</si>
  <si>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</si>
  <si>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</si>
  <si>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</si>
  <si>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</si>
  <si>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</si>
  <si>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</si>
  <si>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</si>
  <si>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</si>
  <si>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</si>
  <si>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</si>
  <si>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</si>
  <si>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</si>
  <si>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</si>
  <si>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</si>
  <si>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</si>
  <si>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</si>
  <si>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</si>
  <si>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</si>
  <si>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</si>
  <si>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</si>
  <si>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</si>
  <si>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</si>
  <si>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</si>
  <si>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</si>
  <si>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 DOS EMPREGADOS NO SETOR DE COLETA DE RSU</t>
  </si>
  <si>
    <t xml:space="preserve">Tendo em vista que o CAGED foi descontinuado em janeiro de 2020, </t>
  </si>
  <si>
    <t>esta planilha foi atualizada até 31/12/2019.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</si>
  <si>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</si>
  <si>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</si>
  <si>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</si>
  <si>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</si>
  <si>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</si>
  <si>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</si>
  <si>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</si>
  <si>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</si>
  <si>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</si>
  <si>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</si>
  <si>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</si>
  <si>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</si>
  <si>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</si>
  <si>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</si>
  <si>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</si>
  <si>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</si>
  <si>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</si>
  <si>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</si>
  <si>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</si>
  <si>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</si>
  <si>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</si>
  <si>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</si>
  <si>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</si>
  <si>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</si>
  <si>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</si>
  <si>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</si>
  <si>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</si>
  <si>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</si>
  <si>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Ajustado, de acordo com a nova Lei Federal nº 13.932/2019</t>
  </si>
  <si>
    <t>BDI Geral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</si>
  <si>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</si>
  <si>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</si>
  <si>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</si>
  <si>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</si>
  <si>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</si>
  <si>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</si>
  <si>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</si>
  <si>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</si>
  <si>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</si>
  <si>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</si>
  <si>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</si>
  <si>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</si>
  <si>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</si>
  <si>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</si>
  <si>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</si>
  <si>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</si>
  <si>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</si>
  <si>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</si>
  <si>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</si>
  <si>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</si>
  <si>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</si>
  <si>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BDI Diferenciado para Disposição Final</t>
  </si>
  <si>
    <t>4(2). Composição do BDI - Benefícios e Despesas Indiretas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</si>
  <si>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</si>
  <si>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</si>
  <si>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</si>
  <si>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</si>
  <si>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</si>
  <si>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</si>
  <si>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</si>
  <si>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</si>
  <si>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</si>
  <si>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</si>
  <si>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</si>
  <si>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1. Esta planilha é somente um modelo de cálculo expedito e deve ser ajustada conforme cada caso concreto.</t>
  </si>
  <si>
    <t>2. Dimensionar separadamente setores atendidos por veículos de capacidade de carga diferentes.</t>
  </si>
  <si>
    <t>3. Preencher somente células em amarelo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</si>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</sst>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0.0000"/>
    <numFmt numFmtId="171" formatCode="_-* #,##0.000_-;\-* #,##0.000_-;_-* \-??_-;_-@_-"/>
    <numFmt numFmtId="172" formatCode="_-* #,##0.00_-;\-* #,##0.00_-;_-* \-?_-;_-@_-"/>
    <numFmt numFmtId="173" formatCode="_-* #,##0_-;\-* #,##0_-;_-* \-?_-;_-@_-"/>
  </numFmts>
  <fonts count="35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ourier New"/>
      <family val="3"/>
      <charset val="1"/>
    </font>
    <font>
      <b/>
      <sz val="16"/>
      <name val="Courier New"/>
      <family val="3"/>
      <charset val="1"/>
    </font>
    <font>
      <b/>
      <sz val="20"/>
      <name val="Courier New"/>
      <family val="3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sz val="7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sz val="9"/>
      <color rgb="FF000000"/>
      <name val="Tahoma"/>
      <family val="2"/>
      <charset val="1"/>
    </font>
    <font>
      <sz val="12"/>
      <color theme="1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theme="3" tint="0.79979857783745845"/>
        <bgColor rgb="FFD9D9D9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D9D9D9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9" fontId="1" fillId="0" borderId="0" applyBorder="0" applyProtection="0"/>
    <xf numFmtId="0" fontId="15" fillId="0" borderId="0" applyBorder="0" applyProtection="0"/>
  </cellStyleXfs>
  <cellXfs count="282">
    <xf numFmtId="0" fontId="0" fillId="0" borderId="0" xfId="0"/>
    <xf numFmtId="0" fontId="7" fillId="8" borderId="35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164" fontId="10" fillId="0" borderId="20" xfId="1" applyFont="1" applyBorder="1" applyAlignment="1" applyProtection="1">
      <alignment horizontal="center" vertical="center"/>
    </xf>
    <xf numFmtId="164" fontId="10" fillId="0" borderId="10" xfId="1" applyFont="1" applyBorder="1" applyAlignment="1" applyProtection="1">
      <alignment horizontal="left" vertical="center"/>
    </xf>
    <xf numFmtId="164" fontId="2" fillId="2" borderId="5" xfId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64" fontId="1" fillId="0" borderId="0" xfId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8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1" fillId="0" borderId="4" xfId="1" applyBorder="1" applyAlignment="1" applyProtection="1">
      <alignment vertical="center"/>
    </xf>
    <xf numFmtId="164" fontId="10" fillId="0" borderId="6" xfId="1" applyFont="1" applyBorder="1" applyAlignment="1" applyProtection="1">
      <alignment horizontal="center" vertical="center"/>
    </xf>
    <xf numFmtId="164" fontId="1" fillId="0" borderId="7" xfId="1" applyBorder="1" applyAlignment="1" applyProtection="1">
      <alignment vertical="center"/>
    </xf>
    <xf numFmtId="164" fontId="10" fillId="0" borderId="7" xfId="1" applyFont="1" applyBorder="1" applyAlignment="1" applyProtection="1">
      <alignment vertical="center"/>
    </xf>
    <xf numFmtId="164" fontId="10" fillId="0" borderId="8" xfId="1" applyFont="1" applyBorder="1" applyAlignment="1" applyProtection="1">
      <alignment vertical="center"/>
    </xf>
    <xf numFmtId="164" fontId="10" fillId="0" borderId="9" xfId="1" applyFont="1" applyBorder="1" applyAlignment="1" applyProtection="1">
      <alignment horizontal="center" vertical="center"/>
    </xf>
    <xf numFmtId="164" fontId="10" fillId="0" borderId="10" xfId="1" applyFont="1" applyBorder="1" applyAlignment="1" applyProtection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1" xfId="1" applyFont="1" applyBorder="1" applyAlignment="1" applyProtection="1">
      <alignment vertical="center"/>
    </xf>
    <xf numFmtId="165" fontId="10" fillId="0" borderId="12" xfId="0" applyNumberFormat="1" applyFont="1" applyBorder="1" applyAlignment="1">
      <alignment vertical="center"/>
    </xf>
    <xf numFmtId="10" fontId="10" fillId="0" borderId="13" xfId="2" applyNumberFormat="1" applyFont="1" applyBorder="1" applyAlignment="1" applyProtection="1">
      <alignment vertical="center"/>
    </xf>
    <xf numFmtId="164" fontId="10" fillId="0" borderId="0" xfId="1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164" fontId="1" fillId="0" borderId="10" xfId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1" fillId="0" borderId="11" xfId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1" fillId="0" borderId="13" xfId="2" applyNumberFormat="1" applyBorder="1" applyAlignment="1" applyProtection="1">
      <alignment vertical="center"/>
    </xf>
    <xf numFmtId="164" fontId="10" fillId="0" borderId="10" xfId="1" applyFont="1" applyBorder="1" applyAlignment="1" applyProtection="1">
      <alignment horizontal="left" vertical="center"/>
    </xf>
    <xf numFmtId="4" fontId="10" fillId="0" borderId="11" xfId="0" applyNumberFormat="1" applyFont="1" applyBorder="1" applyAlignment="1">
      <alignment horizontal="center" vertical="center"/>
    </xf>
    <xf numFmtId="164" fontId="1" fillId="0" borderId="10" xfId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65" fontId="10" fillId="0" borderId="14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164" fontId="10" fillId="0" borderId="16" xfId="1" applyFont="1" applyBorder="1" applyAlignment="1" applyProtection="1">
      <alignment horizontal="left" vertical="center"/>
    </xf>
    <xf numFmtId="4" fontId="10" fillId="0" borderId="17" xfId="0" applyNumberFormat="1" applyFont="1" applyBorder="1" applyAlignment="1">
      <alignment horizontal="center" vertical="center"/>
    </xf>
    <xf numFmtId="164" fontId="10" fillId="0" borderId="17" xfId="1" applyFont="1" applyBorder="1" applyAlignment="1" applyProtection="1">
      <alignment vertical="center"/>
    </xf>
    <xf numFmtId="166" fontId="10" fillId="0" borderId="18" xfId="0" applyNumberFormat="1" applyFont="1" applyBorder="1" applyAlignment="1">
      <alignment vertical="center"/>
    </xf>
    <xf numFmtId="9" fontId="10" fillId="0" borderId="19" xfId="2" applyFont="1" applyBorder="1" applyAlignment="1" applyProtection="1">
      <alignment vertical="center"/>
    </xf>
    <xf numFmtId="164" fontId="10" fillId="0" borderId="21" xfId="1" applyFont="1" applyBorder="1" applyAlignment="1" applyProtection="1">
      <alignment horizontal="right" vertical="center"/>
    </xf>
    <xf numFmtId="164" fontId="1" fillId="0" borderId="6" xfId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1" fontId="1" fillId="0" borderId="22" xfId="1" applyNumberFormat="1" applyBorder="1" applyAlignment="1" applyProtection="1">
      <alignment horizontal="center" vertical="center"/>
    </xf>
    <xf numFmtId="164" fontId="10" fillId="0" borderId="23" xfId="1" applyFont="1" applyBorder="1" applyAlignment="1" applyProtection="1">
      <alignment vertical="center"/>
    </xf>
    <xf numFmtId="4" fontId="10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10" fillId="0" borderId="25" xfId="1" applyNumberFormat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vertical="center"/>
    </xf>
    <xf numFmtId="4" fontId="10" fillId="0" borderId="0" xfId="0" applyNumberFormat="1" applyFont="1" applyAlignment="1">
      <alignment vertical="center"/>
    </xf>
    <xf numFmtId="164" fontId="1" fillId="0" borderId="27" xfId="1" applyBorder="1" applyAlignment="1" applyProtection="1">
      <alignment vertical="center"/>
    </xf>
    <xf numFmtId="164" fontId="1" fillId="0" borderId="28" xfId="1" applyBorder="1" applyAlignment="1" applyProtection="1">
      <alignment vertical="center"/>
    </xf>
    <xf numFmtId="0" fontId="1" fillId="0" borderId="28" xfId="0" applyFont="1" applyBorder="1" applyAlignment="1">
      <alignment vertical="center"/>
    </xf>
    <xf numFmtId="1" fontId="1" fillId="0" borderId="29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center" vertical="center"/>
    </xf>
    <xf numFmtId="167" fontId="1" fillId="0" borderId="0" xfId="1" applyNumberFormat="1" applyBorder="1" applyAlignment="1" applyProtection="1">
      <alignment horizontal="center" vertical="center"/>
    </xf>
    <xf numFmtId="164" fontId="10" fillId="0" borderId="16" xfId="1" applyFont="1" applyBorder="1" applyAlignment="1" applyProtection="1">
      <alignment vertical="center"/>
    </xf>
    <xf numFmtId="10" fontId="10" fillId="3" borderId="30" xfId="2" applyNumberFormat="1" applyFont="1" applyFill="1" applyBorder="1" applyAlignment="1" applyProtection="1">
      <alignment vertical="center"/>
    </xf>
    <xf numFmtId="167" fontId="10" fillId="0" borderId="0" xfId="1" applyNumberFormat="1" applyFont="1" applyBorder="1" applyAlignment="1" applyProtection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164" fontId="13" fillId="4" borderId="31" xfId="1" applyFont="1" applyFill="1" applyBorder="1" applyAlignment="1" applyProtection="1">
      <alignment horizontal="center" vertical="center"/>
    </xf>
    <xf numFmtId="164" fontId="13" fillId="4" borderId="25" xfId="1" applyFont="1" applyFill="1" applyBorder="1" applyAlignment="1" applyProtection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64" fontId="1" fillId="3" borderId="32" xfId="1" applyFill="1" applyBorder="1" applyAlignment="1" applyProtection="1">
      <alignment horizontal="center" vertical="center"/>
    </xf>
    <xf numFmtId="164" fontId="1" fillId="0" borderId="32" xfId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0" borderId="12" xfId="1" applyBorder="1" applyAlignment="1" applyProtection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Border="1" applyAlignment="1" applyProtection="1">
      <alignment horizontal="center" vertical="center"/>
    </xf>
    <xf numFmtId="164" fontId="10" fillId="0" borderId="1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0" borderId="0" xfId="1" applyBorder="1" applyAlignment="1" applyProtection="1">
      <alignment horizontal="right" vertical="center"/>
    </xf>
    <xf numFmtId="164" fontId="1" fillId="0" borderId="12" xfId="1" applyBorder="1" applyAlignment="1" applyProtection="1">
      <alignment vertical="center"/>
    </xf>
    <xf numFmtId="164" fontId="10" fillId="4" borderId="30" xfId="1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164" fontId="13" fillId="4" borderId="33" xfId="1" applyFont="1" applyFill="1" applyBorder="1" applyAlignment="1" applyProtection="1">
      <alignment horizontal="center" vertical="center"/>
    </xf>
    <xf numFmtId="164" fontId="13" fillId="4" borderId="19" xfId="1" applyFont="1" applyFill="1" applyBorder="1" applyAlignment="1" applyProtection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0" borderId="12" xfId="1" applyNumberForma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1" fontId="1" fillId="3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10" fillId="0" borderId="12" xfId="1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164" fontId="10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Border="1" applyAlignment="1" applyProtection="1">
      <alignment horizontal="center" vertical="center"/>
    </xf>
    <xf numFmtId="164" fontId="1" fillId="3" borderId="0" xfId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167" fontId="1" fillId="0" borderId="12" xfId="1" applyNumberFormat="1" applyBorder="1" applyAlignment="1" applyProtection="1">
      <alignment vertical="center"/>
    </xf>
    <xf numFmtId="164" fontId="10" fillId="4" borderId="5" xfId="1" applyFont="1" applyFill="1" applyBorder="1" applyAlignment="1" applyProtection="1">
      <alignment vertical="center"/>
    </xf>
    <xf numFmtId="164" fontId="1" fillId="3" borderId="12" xfId="1" applyFill="1" applyBorder="1" applyAlignment="1" applyProtection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4" fontId="10" fillId="0" borderId="30" xfId="1" applyFont="1" applyBorder="1" applyAlignment="1" applyProtection="1">
      <alignment vertical="center"/>
    </xf>
    <xf numFmtId="0" fontId="13" fillId="4" borderId="33" xfId="0" applyFont="1" applyFill="1" applyBorder="1" applyAlignment="1">
      <alignment horizontal="center" vertical="center" wrapText="1"/>
    </xf>
    <xf numFmtId="13" fontId="1" fillId="3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Border="1" applyAlignment="1" applyProtection="1">
      <alignment vertical="center"/>
    </xf>
    <xf numFmtId="164" fontId="1" fillId="0" borderId="30" xfId="1" applyBorder="1" applyAlignment="1" applyProtection="1">
      <alignment vertical="center"/>
    </xf>
    <xf numFmtId="164" fontId="10" fillId="4" borderId="5" xfId="1" applyFont="1" applyFill="1" applyBorder="1" applyAlignment="1" applyProtection="1">
      <alignment horizontal="center" vertical="center"/>
    </xf>
    <xf numFmtId="0" fontId="15" fillId="0" borderId="0" xfId="3" applyBorder="1" applyAlignment="1" applyProtection="1">
      <alignment vertical="center"/>
    </xf>
    <xf numFmtId="164" fontId="1" fillId="0" borderId="0" xfId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164" fontId="10" fillId="0" borderId="3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 wrapText="1"/>
    </xf>
    <xf numFmtId="4" fontId="16" fillId="3" borderId="1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4" fontId="1" fillId="3" borderId="32" xfId="0" applyNumberFormat="1" applyFont="1" applyFill="1" applyBorder="1" applyAlignment="1">
      <alignment horizontal="center" vertical="center"/>
    </xf>
    <xf numFmtId="169" fontId="1" fillId="3" borderId="32" xfId="1" applyNumberFormat="1" applyFill="1" applyBorder="1" applyAlignment="1" applyProtection="1">
      <alignment horizontal="center" vertical="center"/>
    </xf>
    <xf numFmtId="0" fontId="1" fillId="0" borderId="12" xfId="0" applyFont="1" applyBorder="1" applyAlignment="1">
      <alignment vertical="center" wrapText="1"/>
    </xf>
    <xf numFmtId="169" fontId="1" fillId="0" borderId="32" xfId="1" applyNumberFormat="1" applyBorder="1" applyAlignment="1" applyProtection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169" fontId="1" fillId="0" borderId="12" xfId="1" applyNumberFormat="1" applyBorder="1" applyAlignment="1" applyProtection="1">
      <alignment horizontal="center" vertical="center"/>
    </xf>
    <xf numFmtId="167" fontId="10" fillId="0" borderId="12" xfId="1" applyNumberFormat="1" applyFont="1" applyBorder="1" applyAlignment="1" applyProtection="1">
      <alignment horizontal="center" vertical="center"/>
    </xf>
    <xf numFmtId="169" fontId="10" fillId="0" borderId="12" xfId="1" applyNumberFormat="1" applyFont="1" applyBorder="1" applyAlignment="1" applyProtection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8" fillId="0" borderId="0" xfId="1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164" fontId="16" fillId="0" borderId="0" xfId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164" fontId="21" fillId="0" borderId="12" xfId="1" applyFont="1" applyBorder="1" applyAlignment="1" applyProtection="1">
      <alignment horizontal="center" vertical="center"/>
    </xf>
    <xf numFmtId="0" fontId="20" fillId="0" borderId="32" xfId="0" applyFont="1" applyBorder="1" applyAlignment="1">
      <alignment horizontal="center" vertical="center"/>
    </xf>
    <xf numFmtId="2" fontId="1" fillId="3" borderId="32" xfId="0" applyNumberFormat="1" applyFont="1" applyFill="1" applyBorder="1" applyAlignment="1">
      <alignment horizontal="center" vertical="center"/>
    </xf>
    <xf numFmtId="16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0" fontId="23" fillId="0" borderId="2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10" fontId="24" fillId="0" borderId="22" xfId="0" applyNumberFormat="1" applyFont="1" applyBorder="1" applyAlignment="1">
      <alignment horizontal="right" vertical="center"/>
    </xf>
    <xf numFmtId="0" fontId="23" fillId="6" borderId="36" xfId="0" applyFont="1" applyFill="1" applyBorder="1" applyAlignment="1">
      <alignment horizontal="left" vertical="center"/>
    </xf>
    <xf numFmtId="0" fontId="24" fillId="6" borderId="12" xfId="0" applyFont="1" applyFill="1" applyBorder="1" applyAlignment="1">
      <alignment horizontal="left" vertical="center"/>
    </xf>
    <xf numFmtId="10" fontId="24" fillId="6" borderId="22" xfId="0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1" fillId="0" borderId="0" xfId="0" applyNumberFormat="1" applyFont="1"/>
    <xf numFmtId="9" fontId="23" fillId="0" borderId="0" xfId="2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left" vertical="center" wrapText="1"/>
    </xf>
    <xf numFmtId="0" fontId="23" fillId="7" borderId="37" xfId="0" applyFont="1" applyFill="1" applyBorder="1" applyAlignment="1">
      <alignment horizontal="left" vertical="center"/>
    </xf>
    <xf numFmtId="0" fontId="24" fillId="7" borderId="15" xfId="0" applyFont="1" applyFill="1" applyBorder="1" applyAlignment="1">
      <alignment horizontal="left" vertical="center"/>
    </xf>
    <xf numFmtId="10" fontId="24" fillId="7" borderId="29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10" fontId="24" fillId="0" borderId="0" xfId="0" applyNumberFormat="1" applyFont="1" applyAlignment="1">
      <alignment horizontal="right" vertical="center"/>
    </xf>
    <xf numFmtId="10" fontId="23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15" fillId="0" borderId="0" xfId="3" applyBorder="1" applyAlignment="1" applyProtection="1">
      <alignment horizontal="left" vertical="center"/>
    </xf>
    <xf numFmtId="0" fontId="28" fillId="0" borderId="0" xfId="0" applyFont="1"/>
    <xf numFmtId="0" fontId="23" fillId="0" borderId="0" xfId="0" applyFont="1" applyAlignment="1">
      <alignment horizontal="right" vertical="center"/>
    </xf>
    <xf numFmtId="0" fontId="10" fillId="0" borderId="0" xfId="0" applyFont="1"/>
    <xf numFmtId="0" fontId="18" fillId="0" borderId="0" xfId="0" applyFont="1"/>
    <xf numFmtId="0" fontId="29" fillId="0" borderId="10" xfId="0" applyFont="1" applyBorder="1"/>
    <xf numFmtId="0" fontId="8" fillId="0" borderId="13" xfId="0" applyFont="1" applyBorder="1"/>
    <xf numFmtId="0" fontId="29" fillId="0" borderId="38" xfId="0" applyFont="1" applyBorder="1"/>
    <xf numFmtId="0" fontId="29" fillId="3" borderId="22" xfId="0" applyFont="1" applyFill="1" applyBorder="1"/>
    <xf numFmtId="0" fontId="29" fillId="0" borderId="36" xfId="0" applyFont="1" applyBorder="1"/>
    <xf numFmtId="0" fontId="8" fillId="0" borderId="36" xfId="0" applyFont="1" applyBorder="1"/>
    <xf numFmtId="0" fontId="8" fillId="3" borderId="22" xfId="0" applyFont="1" applyFill="1" applyBorder="1"/>
    <xf numFmtId="0" fontId="8" fillId="0" borderId="38" xfId="0" applyFont="1" applyBorder="1"/>
    <xf numFmtId="0" fontId="8" fillId="3" borderId="39" xfId="0" applyFont="1" applyFill="1" applyBorder="1"/>
    <xf numFmtId="0" fontId="8" fillId="0" borderId="40" xfId="0" applyFont="1" applyBorder="1"/>
    <xf numFmtId="0" fontId="8" fillId="0" borderId="41" xfId="0" applyFont="1" applyBorder="1"/>
    <xf numFmtId="0" fontId="8" fillId="3" borderId="42" xfId="0" applyFont="1" applyFill="1" applyBorder="1"/>
    <xf numFmtId="0" fontId="8" fillId="0" borderId="22" xfId="0" applyFont="1" applyBorder="1"/>
    <xf numFmtId="0" fontId="8" fillId="0" borderId="3" xfId="0" applyFont="1" applyBorder="1"/>
    <xf numFmtId="0" fontId="8" fillId="0" borderId="4" xfId="0" applyFont="1" applyBorder="1"/>
    <xf numFmtId="0" fontId="9" fillId="0" borderId="39" xfId="0" applyFont="1" applyBorder="1"/>
    <xf numFmtId="10" fontId="29" fillId="0" borderId="22" xfId="2" applyNumberFormat="1" applyFont="1" applyBorder="1" applyProtection="1"/>
    <xf numFmtId="170" fontId="9" fillId="0" borderId="22" xfId="0" applyNumberFormat="1" applyFont="1" applyBorder="1"/>
    <xf numFmtId="0" fontId="29" fillId="0" borderId="22" xfId="0" applyFont="1" applyBorder="1"/>
    <xf numFmtId="0" fontId="29" fillId="0" borderId="39" xfId="0" applyFont="1" applyBorder="1"/>
    <xf numFmtId="9" fontId="29" fillId="0" borderId="22" xfId="2" applyFont="1" applyBorder="1" applyProtection="1"/>
    <xf numFmtId="0" fontId="29" fillId="0" borderId="23" xfId="0" applyFont="1" applyBorder="1"/>
    <xf numFmtId="9" fontId="9" fillId="0" borderId="25" xfId="2" applyFont="1" applyBorder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9" fontId="8" fillId="0" borderId="36" xfId="2" applyFont="1" applyBorder="1" applyProtection="1"/>
    <xf numFmtId="9" fontId="8" fillId="0" borderId="12" xfId="2" applyFont="1" applyBorder="1" applyAlignment="1" applyProtection="1">
      <alignment horizontal="center"/>
    </xf>
    <xf numFmtId="9" fontId="8" fillId="0" borderId="22" xfId="2" applyFont="1" applyBorder="1" applyProtection="1"/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10" fontId="8" fillId="3" borderId="9" xfId="0" applyNumberFormat="1" applyFont="1" applyFill="1" applyBorder="1" applyAlignment="1">
      <alignment horizontal="center" vertical="center"/>
    </xf>
    <xf numFmtId="10" fontId="8" fillId="0" borderId="36" xfId="2" applyNumberFormat="1" applyFont="1" applyBorder="1" applyAlignment="1" applyProtection="1">
      <alignment horizontal="right"/>
    </xf>
    <xf numFmtId="10" fontId="8" fillId="0" borderId="12" xfId="2" applyNumberFormat="1" applyFont="1" applyBorder="1" applyAlignment="1" applyProtection="1">
      <alignment horizontal="right"/>
    </xf>
    <xf numFmtId="10" fontId="8" fillId="0" borderId="22" xfId="2" applyNumberFormat="1" applyFont="1" applyBorder="1" applyAlignment="1" applyProtection="1">
      <alignment horizontal="right"/>
    </xf>
    <xf numFmtId="0" fontId="8" fillId="0" borderId="3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10" fontId="8" fillId="3" borderId="22" xfId="0" applyNumberFormat="1" applyFont="1" applyFill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8" fillId="3" borderId="12" xfId="2" applyNumberFormat="1" applyFont="1" applyFill="1" applyBorder="1" applyAlignment="1" applyProtection="1">
      <alignment horizontal="center"/>
    </xf>
    <xf numFmtId="10" fontId="8" fillId="0" borderId="22" xfId="2" applyNumberFormat="1" applyFont="1" applyBorder="1" applyProtection="1"/>
    <xf numFmtId="0" fontId="8" fillId="0" borderId="36" xfId="0" applyFont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0" borderId="37" xfId="0" applyFont="1" applyBorder="1" applyAlignment="1">
      <alignment horizontal="left" vertical="center"/>
    </xf>
    <xf numFmtId="10" fontId="8" fillId="3" borderId="2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10" fontId="8" fillId="0" borderId="47" xfId="0" applyNumberFormat="1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48" xfId="0" applyFont="1" applyBorder="1" applyAlignment="1">
      <alignment vertical="center"/>
    </xf>
    <xf numFmtId="0" fontId="9" fillId="6" borderId="16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/>
    </xf>
    <xf numFmtId="10" fontId="9" fillId="6" borderId="30" xfId="0" applyNumberFormat="1" applyFont="1" applyFill="1" applyBorder="1" applyAlignment="1">
      <alignment horizontal="center" vertical="center" wrapText="1"/>
    </xf>
    <xf numFmtId="10" fontId="8" fillId="0" borderId="37" xfId="2" applyNumberFormat="1" applyFont="1" applyBorder="1" applyAlignment="1" applyProtection="1">
      <alignment horizontal="right"/>
    </xf>
    <xf numFmtId="10" fontId="8" fillId="0" borderId="15" xfId="2" applyNumberFormat="1" applyFont="1" applyBorder="1" applyAlignment="1" applyProtection="1">
      <alignment horizontal="right"/>
    </xf>
    <xf numFmtId="10" fontId="8" fillId="0" borderId="29" xfId="2" applyNumberFormat="1" applyFont="1" applyBorder="1" applyAlignment="1" applyProtection="1">
      <alignment horizontal="right"/>
    </xf>
    <xf numFmtId="0" fontId="24" fillId="0" borderId="36" xfId="0" applyFont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2" fontId="23" fillId="9" borderId="12" xfId="0" applyNumberFormat="1" applyFont="1" applyFill="1" applyBorder="1" applyAlignment="1">
      <alignment horizontal="right" vertical="center"/>
    </xf>
    <xf numFmtId="0" fontId="23" fillId="0" borderId="37" xfId="0" applyFont="1" applyBorder="1" applyAlignment="1">
      <alignment horizontal="center" vertical="center"/>
    </xf>
    <xf numFmtId="2" fontId="23" fillId="9" borderId="15" xfId="0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/>
    </xf>
    <xf numFmtId="0" fontId="1" fillId="0" borderId="49" xfId="0" applyFont="1" applyBorder="1"/>
    <xf numFmtId="0" fontId="31" fillId="0" borderId="49" xfId="0" applyFont="1" applyBorder="1" applyAlignment="1">
      <alignment horizontal="justify"/>
    </xf>
    <xf numFmtId="0" fontId="31" fillId="0" borderId="2" xfId="0" applyFont="1" applyBorder="1" applyAlignment="1">
      <alignment horizontal="justify"/>
    </xf>
    <xf numFmtId="0" fontId="7" fillId="0" borderId="3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36" xfId="0" applyFont="1" applyBorder="1"/>
    <xf numFmtId="0" fontId="9" fillId="0" borderId="12" xfId="0" applyFont="1" applyBorder="1"/>
    <xf numFmtId="0" fontId="9" fillId="0" borderId="22" xfId="0" applyFont="1" applyBorder="1"/>
    <xf numFmtId="0" fontId="8" fillId="0" borderId="12" xfId="0" applyFont="1" applyBorder="1"/>
    <xf numFmtId="171" fontId="25" fillId="0" borderId="22" xfId="1" applyNumberFormat="1" applyFont="1" applyBorder="1" applyAlignment="1" applyProtection="1">
      <alignment horizontal="center" vertical="center" wrapText="1"/>
    </xf>
    <xf numFmtId="172" fontId="8" fillId="0" borderId="22" xfId="0" applyNumberFormat="1" applyFont="1" applyBorder="1"/>
    <xf numFmtId="2" fontId="8" fillId="0" borderId="22" xfId="0" applyNumberFormat="1" applyFont="1" applyBorder="1"/>
    <xf numFmtId="172" fontId="8" fillId="3" borderId="22" xfId="0" applyNumberFormat="1" applyFont="1" applyFill="1" applyBorder="1"/>
    <xf numFmtId="173" fontId="8" fillId="3" borderId="22" xfId="0" applyNumberFormat="1" applyFont="1" applyFill="1" applyBorder="1"/>
    <xf numFmtId="0" fontId="8" fillId="0" borderId="37" xfId="0" applyFont="1" applyBorder="1"/>
    <xf numFmtId="0" fontId="8" fillId="0" borderId="15" xfId="0" applyFont="1" applyBorder="1"/>
    <xf numFmtId="172" fontId="8" fillId="0" borderId="29" xfId="0" applyNumberFormat="1" applyFont="1" applyBorder="1"/>
    <xf numFmtId="0" fontId="2" fillId="8" borderId="1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9" fontId="9" fillId="0" borderId="35" xfId="2" applyFont="1" applyBorder="1" applyAlignment="1" applyProtection="1">
      <alignment horizontal="center"/>
    </xf>
    <xf numFmtId="0" fontId="8" fillId="0" borderId="15" xfId="0" applyFont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2442240</xdr:colOff>
      <xdr:row>4</xdr:row>
      <xdr:rowOff>131400</xdr:rowOff>
    </xdr:from>
    <xdr:to>
      <xdr:col>0</xdr:col>
      <xdr:colOff>2966760</xdr:colOff>
      <xdr:row>8</xdr:row>
      <xdr:rowOff>44280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240" y="779040"/>
          <a:ext cx="524520" cy="56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1417680</xdr:colOff>
      <xdr:row>6</xdr:row>
      <xdr:rowOff>65160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4480" cy="360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2122560</xdr:colOff>
      <xdr:row>9</xdr:row>
      <xdr:rowOff>55440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600"/>
          <a:ext cx="2036880" cy="36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0"/>
  <sheetViews>
    <sheetView tabSelected="1" view="pageBreakPreview" zoomScaleNormal="100" workbookViewId="0">
      <selection activeCell="A6" sqref="A6:F350"/>
    </sheetView>
  </sheetViews>
  <sheetFormatPr defaultColWidth="9.140625" defaultRowHeight="12.75" x14ac:dyDescent="0.2"/>
  <cols>
    <col min="1" max="1" width="45.28515625" style="14" customWidth="1"/>
    <col min="2" max="2" width="16" style="14" customWidth="1"/>
    <col min="3" max="3" width="11.85546875" style="14" customWidth="1"/>
    <col min="4" max="4" width="14.7109375" style="15" customWidth="1"/>
    <col min="5" max="5" width="15.42578125" style="15" customWidth="1"/>
    <col min="6" max="6" width="13.28515625" style="15" customWidth="1"/>
    <col min="7" max="7" width="28.140625" style="15" customWidth="1"/>
    <col min="8" max="8" width="9.140625" style="14"/>
    <col min="9" max="9" width="14.5703125" style="14" customWidth="1"/>
    <col min="10" max="10" width="13.42578125" style="14" customWidth="1"/>
    <col min="11" max="16384" width="9.140625" style="14"/>
  </cols>
  <sheetData>
    <row r="1" spans="1:7" ht="12.75" customHeight="1" x14ac:dyDescent="0.2">
      <c r="A1" s="16"/>
    </row>
    <row r="2" spans="1:7" ht="12.75" customHeight="1" x14ac:dyDescent="0.2">
      <c r="A2" s="17"/>
    </row>
    <row r="3" spans="1:7" ht="12.75" customHeight="1" x14ac:dyDescent="0.2">
      <c r="A3" s="17"/>
    </row>
    <row r="4" spans="1:7" ht="12.75" customHeight="1" x14ac:dyDescent="0.2">
      <c r="A4" s="17"/>
    </row>
    <row r="5" spans="1:7" s="19" customFormat="1" ht="12.75" customHeight="1" x14ac:dyDescent="0.2">
      <c r="A5" s="18"/>
      <c r="C5" s="20"/>
      <c r="D5" s="20"/>
      <c r="E5" s="20"/>
      <c r="F5" s="20"/>
      <c r="G5" s="15"/>
    </row>
    <row r="6" spans="1:7" s="19" customFormat="1" ht="12.75" customHeight="1" x14ac:dyDescent="0.2">
      <c r="A6" s="13"/>
      <c r="B6" s="12" t="s">
        <v>0</v>
      </c>
      <c r="C6" s="12"/>
      <c r="D6" s="12"/>
      <c r="E6" s="12"/>
      <c r="F6" s="12"/>
      <c r="G6" s="15"/>
    </row>
    <row r="7" spans="1:7" s="19" customFormat="1" ht="12.75" customHeight="1" x14ac:dyDescent="0.2">
      <c r="A7" s="13"/>
      <c r="B7" s="11" t="s">
        <v>1</v>
      </c>
      <c r="C7" s="11"/>
      <c r="D7" s="11"/>
      <c r="E7" s="11"/>
      <c r="F7" s="11"/>
      <c r="G7" s="15"/>
    </row>
    <row r="8" spans="1:7" s="19" customFormat="1" ht="12.75" customHeight="1" x14ac:dyDescent="0.2">
      <c r="A8" s="13"/>
      <c r="B8" s="11"/>
      <c r="C8" s="11"/>
      <c r="D8" s="11"/>
      <c r="E8" s="11"/>
      <c r="F8" s="11"/>
      <c r="G8" s="15"/>
    </row>
    <row r="9" spans="1:7" s="19" customFormat="1" ht="12.75" customHeight="1" x14ac:dyDescent="0.2">
      <c r="A9" s="17"/>
      <c r="B9" s="20"/>
      <c r="C9" s="20"/>
      <c r="D9" s="20"/>
      <c r="E9" s="20"/>
      <c r="F9" s="20"/>
      <c r="G9" s="15"/>
    </row>
    <row r="10" spans="1:7" s="19" customFormat="1" ht="16.5" customHeight="1" x14ac:dyDescent="0.2">
      <c r="A10" s="14"/>
      <c r="B10" s="20"/>
      <c r="C10" s="20"/>
      <c r="D10" s="15"/>
      <c r="E10" s="15"/>
      <c r="F10" s="15"/>
      <c r="G10" s="15"/>
    </row>
    <row r="11" spans="1:7" s="22" customFormat="1" ht="18" x14ac:dyDescent="0.2">
      <c r="A11" s="10" t="s">
        <v>2</v>
      </c>
      <c r="B11" s="10"/>
      <c r="C11" s="10"/>
      <c r="D11" s="10"/>
      <c r="E11" s="10"/>
      <c r="F11" s="10"/>
      <c r="G11" s="21"/>
    </row>
    <row r="12" spans="1:7" s="22" customFormat="1" ht="21.75" customHeight="1" x14ac:dyDescent="0.2">
      <c r="A12" s="9" t="s">
        <v>3</v>
      </c>
      <c r="B12" s="9"/>
      <c r="C12" s="9"/>
      <c r="D12" s="9"/>
      <c r="E12" s="9"/>
      <c r="F12" s="9"/>
      <c r="G12" s="21"/>
    </row>
    <row r="13" spans="1:7" s="19" customFormat="1" ht="10.5" customHeight="1" x14ac:dyDescent="0.2">
      <c r="A13" s="23"/>
      <c r="B13" s="20"/>
      <c r="C13" s="20"/>
      <c r="D13" s="15"/>
      <c r="E13" s="15"/>
      <c r="F13" s="24"/>
      <c r="G13" s="15"/>
    </row>
    <row r="14" spans="1:7" s="19" customFormat="1" ht="15.75" customHeight="1" x14ac:dyDescent="0.2">
      <c r="A14" s="8" t="s">
        <v>4</v>
      </c>
      <c r="B14" s="8"/>
      <c r="C14" s="8"/>
      <c r="D14" s="8"/>
      <c r="E14" s="8"/>
      <c r="F14" s="8"/>
      <c r="G14" s="15"/>
    </row>
    <row r="15" spans="1:7" s="19" customFormat="1" ht="15.75" customHeight="1" x14ac:dyDescent="0.2">
      <c r="A15" s="25" t="s">
        <v>5</v>
      </c>
      <c r="B15" s="26"/>
      <c r="C15" s="26"/>
      <c r="D15" s="27"/>
      <c r="E15" s="28" t="s">
        <v>6</v>
      </c>
      <c r="F15" s="29" t="s">
        <v>7</v>
      </c>
      <c r="G15" s="15"/>
    </row>
    <row r="16" spans="1:7" s="36" customFormat="1" ht="15.75" customHeight="1" x14ac:dyDescent="0.2">
      <c r="A16" s="30" t="str">
        <f>A56</f>
        <v>1. Mão-de-obra</v>
      </c>
      <c r="B16" s="31"/>
      <c r="C16" s="32"/>
      <c r="D16" s="32"/>
      <c r="E16" s="33">
        <f>+F143</f>
        <v>10629.466262231021</v>
      </c>
      <c r="F16" s="34">
        <f t="shared" ref="F16:F38" si="0">IFERROR(E16/$E$39,0)</f>
        <v>0.15619803189666373</v>
      </c>
      <c r="G16" s="35"/>
    </row>
    <row r="17" spans="1:7" s="19" customFormat="1" ht="15.75" customHeight="1" x14ac:dyDescent="0.2">
      <c r="A17" s="37" t="str">
        <f>A58</f>
        <v>1.1. Coletor Turno Dia</v>
      </c>
      <c r="B17" s="38"/>
      <c r="C17" s="39"/>
      <c r="D17" s="39"/>
      <c r="E17" s="40">
        <f>F66</f>
        <v>6310.0494255433086</v>
      </c>
      <c r="F17" s="41">
        <f t="shared" si="0"/>
        <v>9.2725003977167417E-2</v>
      </c>
      <c r="G17" s="15"/>
    </row>
    <row r="18" spans="1:7" s="19" customFormat="1" ht="15.75" customHeight="1" x14ac:dyDescent="0.2">
      <c r="A18" s="37" t="str">
        <f>A68</f>
        <v>1.2. Coletor Turno Noite</v>
      </c>
      <c r="B18" s="38"/>
      <c r="C18" s="39"/>
      <c r="D18" s="39"/>
      <c r="E18" s="40">
        <f>F85</f>
        <v>0</v>
      </c>
      <c r="F18" s="41">
        <f t="shared" si="0"/>
        <v>0</v>
      </c>
      <c r="G18" s="15"/>
    </row>
    <row r="19" spans="1:7" s="19" customFormat="1" ht="15.75" customHeight="1" x14ac:dyDescent="0.2">
      <c r="A19" s="37" t="str">
        <f>A87</f>
        <v>1.3. Motorista Turno do Dia</v>
      </c>
      <c r="B19" s="38"/>
      <c r="C19" s="39"/>
      <c r="D19" s="39"/>
      <c r="E19" s="40">
        <f>F100</f>
        <v>3493.8154828415577</v>
      </c>
      <c r="F19" s="41">
        <f t="shared" si="0"/>
        <v>5.1340969411515912E-2</v>
      </c>
      <c r="G19" s="15"/>
    </row>
    <row r="20" spans="1:7" s="19" customFormat="1" ht="15.75" customHeight="1" x14ac:dyDescent="0.2">
      <c r="A20" s="37" t="str">
        <f>A102</f>
        <v>1.4. Motorista Turno Noite</v>
      </c>
      <c r="B20" s="38"/>
      <c r="C20" s="39"/>
      <c r="D20" s="39"/>
      <c r="E20" s="40">
        <f>F121</f>
        <v>0</v>
      </c>
      <c r="F20" s="41">
        <f t="shared" si="0"/>
        <v>0</v>
      </c>
      <c r="G20" s="15"/>
    </row>
    <row r="21" spans="1:7" s="19" customFormat="1" ht="15.75" customHeight="1" x14ac:dyDescent="0.2">
      <c r="A21" s="37" t="str">
        <f>A123</f>
        <v>1.5. Vale Transporte</v>
      </c>
      <c r="B21" s="38"/>
      <c r="C21" s="39"/>
      <c r="D21" s="39"/>
      <c r="E21" s="40">
        <f>F129</f>
        <v>50.561353846153878</v>
      </c>
      <c r="F21" s="41">
        <f t="shared" si="0"/>
        <v>7.4298970107859578E-4</v>
      </c>
      <c r="G21" s="15"/>
    </row>
    <row r="22" spans="1:7" s="19" customFormat="1" ht="15.75" customHeight="1" x14ac:dyDescent="0.2">
      <c r="A22" s="37" t="str">
        <f>A131</f>
        <v>1.6. Vale-refeição (diário)</v>
      </c>
      <c r="B22" s="38"/>
      <c r="C22" s="39"/>
      <c r="D22" s="39"/>
      <c r="E22" s="40">
        <f>F135</f>
        <v>775.04</v>
      </c>
      <c r="F22" s="41">
        <f t="shared" si="0"/>
        <v>1.1389068806901787E-2</v>
      </c>
      <c r="G22" s="15"/>
    </row>
    <row r="23" spans="1:7" s="19" customFormat="1" ht="15.75" customHeight="1" x14ac:dyDescent="0.2">
      <c r="A23" s="37" t="str">
        <f>A137</f>
        <v>1.7. Auxílio Alimentação (mensal)</v>
      </c>
      <c r="B23" s="38"/>
      <c r="C23" s="39"/>
      <c r="D23" s="39"/>
      <c r="E23" s="40">
        <f>F141</f>
        <v>0</v>
      </c>
      <c r="F23" s="41">
        <f t="shared" si="0"/>
        <v>0</v>
      </c>
      <c r="G23" s="15"/>
    </row>
    <row r="24" spans="1:7" s="36" customFormat="1" ht="15.75" customHeight="1" x14ac:dyDescent="0.2">
      <c r="A24" s="7" t="str">
        <f>A145</f>
        <v>2. Uniformes e Equipamentos de Proteção Individual</v>
      </c>
      <c r="B24" s="7"/>
      <c r="C24" s="7"/>
      <c r="D24" s="32"/>
      <c r="E24" s="33">
        <f>+F179</f>
        <v>885.6950579999999</v>
      </c>
      <c r="F24" s="34">
        <f t="shared" si="0"/>
        <v>1.3015124325834626E-2</v>
      </c>
      <c r="G24" s="35"/>
    </row>
    <row r="25" spans="1:7" s="36" customFormat="1" ht="15.75" customHeight="1" x14ac:dyDescent="0.2">
      <c r="A25" s="42" t="str">
        <f>A181</f>
        <v>3. Veículos e Equipamentos</v>
      </c>
      <c r="B25" s="43"/>
      <c r="C25" s="32"/>
      <c r="D25" s="32"/>
      <c r="E25" s="33">
        <f>+F290</f>
        <v>31965.356803229224</v>
      </c>
      <c r="F25" s="34">
        <f t="shared" si="0"/>
        <v>0.46972497944511743</v>
      </c>
      <c r="G25" s="35"/>
    </row>
    <row r="26" spans="1:7" s="19" customFormat="1" ht="15.75" customHeight="1" x14ac:dyDescent="0.2">
      <c r="A26" s="44" t="str">
        <f>A183</f>
        <v>3.1. Veículo Coletor Compactador 12 m³</v>
      </c>
      <c r="B26" s="45"/>
      <c r="C26" s="39"/>
      <c r="D26" s="39"/>
      <c r="E26" s="40">
        <f>SUM(E27:E32)</f>
        <v>16842.230448529222</v>
      </c>
      <c r="F26" s="41">
        <f t="shared" si="0"/>
        <v>0.24749344735755016</v>
      </c>
      <c r="G26" s="15"/>
    </row>
    <row r="27" spans="1:7" s="19" customFormat="1" ht="15.75" customHeight="1" x14ac:dyDescent="0.2">
      <c r="A27" s="44" t="str">
        <f>A185</f>
        <v>3.1.1. Depreciação</v>
      </c>
      <c r="B27" s="45"/>
      <c r="C27" s="39"/>
      <c r="D27" s="39"/>
      <c r="E27" s="40">
        <f>F199</f>
        <v>2635.8842058240002</v>
      </c>
      <c r="F27" s="41">
        <f t="shared" si="0"/>
        <v>3.8733828689042127E-2</v>
      </c>
      <c r="G27" s="15"/>
    </row>
    <row r="28" spans="1:7" s="19" customFormat="1" ht="15.75" customHeight="1" x14ac:dyDescent="0.2">
      <c r="A28" s="44" t="str">
        <f>A201</f>
        <v>3.1.2. Remuneração do Capital</v>
      </c>
      <c r="B28" s="45"/>
      <c r="C28" s="39"/>
      <c r="D28" s="39"/>
      <c r="E28" s="40">
        <f>F215</f>
        <v>3929.5572076464</v>
      </c>
      <c r="F28" s="41">
        <f t="shared" si="0"/>
        <v>5.7744113101958226E-2</v>
      </c>
      <c r="G28" s="15"/>
    </row>
    <row r="29" spans="1:7" s="19" customFormat="1" ht="15.75" customHeight="1" x14ac:dyDescent="0.2">
      <c r="A29" s="44" t="str">
        <f>A217</f>
        <v>3.1.3. Impostos e Seguros</v>
      </c>
      <c r="B29" s="45"/>
      <c r="C29" s="39"/>
      <c r="D29" s="39"/>
      <c r="E29" s="40">
        <f>F223</f>
        <v>363.53818799999999</v>
      </c>
      <c r="F29" s="41">
        <f t="shared" si="0"/>
        <v>5.3421261316427505E-3</v>
      </c>
      <c r="G29" s="15"/>
    </row>
    <row r="30" spans="1:7" s="19" customFormat="1" ht="15.75" customHeight="1" x14ac:dyDescent="0.2">
      <c r="A30" s="44" t="str">
        <f>A225</f>
        <v>3.1.4. Consumos</v>
      </c>
      <c r="B30" s="45"/>
      <c r="C30" s="39"/>
      <c r="D30" s="39"/>
      <c r="E30" s="40">
        <f>F241</f>
        <v>6209.409247058823</v>
      </c>
      <c r="F30" s="41">
        <f t="shared" si="0"/>
        <v>9.1246115252071061E-2</v>
      </c>
      <c r="G30" s="15"/>
    </row>
    <row r="31" spans="1:7" s="19" customFormat="1" ht="15.75" customHeight="1" x14ac:dyDescent="0.2">
      <c r="A31" s="44" t="str">
        <f>A243</f>
        <v>3.1.5. Manutenção</v>
      </c>
      <c r="B31" s="45"/>
      <c r="C31" s="39"/>
      <c r="D31" s="39"/>
      <c r="E31" s="40">
        <f>F246</f>
        <v>2955.3599999999997</v>
      </c>
      <c r="F31" s="41">
        <f t="shared" si="0"/>
        <v>4.3428466129703323E-2</v>
      </c>
      <c r="G31" s="15"/>
    </row>
    <row r="32" spans="1:7" s="19" customFormat="1" ht="15.75" customHeight="1" x14ac:dyDescent="0.2">
      <c r="A32" s="44" t="str">
        <f>A248</f>
        <v>3.1.6. Pneus</v>
      </c>
      <c r="B32" s="45"/>
      <c r="C32" s="39"/>
      <c r="D32" s="39"/>
      <c r="E32" s="40">
        <f>F255</f>
        <v>748.48160000000007</v>
      </c>
      <c r="F32" s="41">
        <f t="shared" si="0"/>
        <v>1.0998798053132667E-2</v>
      </c>
      <c r="G32" s="15"/>
    </row>
    <row r="33" spans="1:7" s="19" customFormat="1" ht="15.75" customHeight="1" x14ac:dyDescent="0.2">
      <c r="A33" s="44" t="str">
        <f>A256</f>
        <v>3.2. Locação de Containers</v>
      </c>
      <c r="B33" s="45"/>
      <c r="C33" s="39"/>
      <c r="D33" s="39"/>
      <c r="E33" s="40">
        <f>F266+F277+F288</f>
        <v>15123.126354700002</v>
      </c>
      <c r="F33" s="41">
        <f t="shared" si="0"/>
        <v>0.22223153208756727</v>
      </c>
      <c r="G33" s="15"/>
    </row>
    <row r="34" spans="1:7" s="36" customFormat="1" ht="15.75" customHeight="1" x14ac:dyDescent="0.2">
      <c r="A34" s="42" t="str">
        <f>A292</f>
        <v>4. Ferramentas e Materiais de Consumo</v>
      </c>
      <c r="B34" s="43"/>
      <c r="C34" s="32"/>
      <c r="D34" s="32"/>
      <c r="E34" s="33">
        <f>+F302</f>
        <v>548.33833333333314</v>
      </c>
      <c r="F34" s="34">
        <f t="shared" si="0"/>
        <v>8.0577299336746216E-3</v>
      </c>
      <c r="G34" s="35"/>
    </row>
    <row r="35" spans="1:7" s="36" customFormat="1" ht="15.75" customHeight="1" x14ac:dyDescent="0.2">
      <c r="A35" s="42" t="str">
        <f>A304</f>
        <v>5. Monitoramento da Frota</v>
      </c>
      <c r="B35" s="43"/>
      <c r="C35" s="32"/>
      <c r="D35" s="32"/>
      <c r="E35" s="33">
        <f>+F311</f>
        <v>449.16235199999994</v>
      </c>
      <c r="F35" s="34">
        <f t="shared" si="0"/>
        <v>6.600357313684249E-3</v>
      </c>
      <c r="G35" s="35"/>
    </row>
    <row r="36" spans="1:7" s="36" customFormat="1" ht="15.75" customHeight="1" x14ac:dyDescent="0.2">
      <c r="A36" s="42" t="str">
        <f>A315</f>
        <v>6. Destinação final</v>
      </c>
      <c r="B36" s="43"/>
      <c r="C36" s="32"/>
      <c r="D36" s="32"/>
      <c r="E36" s="46">
        <f>F321</f>
        <v>9755.8823999999986</v>
      </c>
      <c r="F36" s="34">
        <f t="shared" si="0"/>
        <v>0.14336087934253991</v>
      </c>
      <c r="G36" s="35"/>
    </row>
    <row r="37" spans="1:7" s="36" customFormat="1" ht="15.75" customHeight="1" x14ac:dyDescent="0.2">
      <c r="A37" s="42" t="str">
        <f>A325</f>
        <v>7. Pesagem</v>
      </c>
      <c r="B37" s="43"/>
      <c r="C37" s="32"/>
      <c r="D37" s="32"/>
      <c r="E37" s="46">
        <f>F331</f>
        <v>320</v>
      </c>
      <c r="F37" s="34">
        <f t="shared" si="0"/>
        <v>4.7023405478537521E-3</v>
      </c>
      <c r="G37" s="35"/>
    </row>
    <row r="38" spans="1:7" s="36" customFormat="1" ht="15.75" customHeight="1" x14ac:dyDescent="0.2">
      <c r="A38" s="42" t="str">
        <f>A333</f>
        <v>8. Benefícios e Despesas Indiretas - BDI</v>
      </c>
      <c r="B38" s="43"/>
      <c r="C38" s="32"/>
      <c r="D38" s="32"/>
      <c r="E38" s="47">
        <f>+F340</f>
        <v>13497.316422829213</v>
      </c>
      <c r="F38" s="34">
        <f t="shared" si="0"/>
        <v>0.19834055719463178</v>
      </c>
      <c r="G38" s="35"/>
    </row>
    <row r="39" spans="1:7" s="19" customFormat="1" ht="15.75" customHeight="1" x14ac:dyDescent="0.2">
      <c r="A39" s="48" t="s">
        <v>8</v>
      </c>
      <c r="B39" s="49"/>
      <c r="C39" s="50"/>
      <c r="D39" s="50"/>
      <c r="E39" s="51">
        <f>E16+E24+E25+E34+E35+E38+E36+E37</f>
        <v>68051.217631622785</v>
      </c>
      <c r="F39" s="52">
        <f>F16+F24+F25+F34+F35+F38+F36+F37</f>
        <v>1.0000000000000002</v>
      </c>
      <c r="G39" s="15"/>
    </row>
    <row r="42" spans="1:7" s="19" customFormat="1" ht="15" customHeight="1" x14ac:dyDescent="0.2">
      <c r="A42" s="8" t="s">
        <v>9</v>
      </c>
      <c r="B42" s="8"/>
      <c r="C42" s="8"/>
      <c r="D42" s="8"/>
      <c r="E42" s="8"/>
      <c r="F42" s="15"/>
      <c r="G42" s="15"/>
    </row>
    <row r="43" spans="1:7" s="19" customFormat="1" ht="15" customHeight="1" x14ac:dyDescent="0.2">
      <c r="A43" s="6" t="s">
        <v>10</v>
      </c>
      <c r="B43" s="6"/>
      <c r="C43" s="6"/>
      <c r="D43" s="6"/>
      <c r="E43" s="53" t="s">
        <v>11</v>
      </c>
      <c r="F43" s="15"/>
      <c r="G43" s="15"/>
    </row>
    <row r="44" spans="1:7" s="19" customFormat="1" ht="15" customHeight="1" x14ac:dyDescent="0.2">
      <c r="A44" s="54" t="str">
        <f>+A58</f>
        <v>1.1. Coletor Turno Dia</v>
      </c>
      <c r="B44" s="26"/>
      <c r="C44" s="26"/>
      <c r="D44" s="55"/>
      <c r="E44" s="56">
        <f>C65</f>
        <v>2</v>
      </c>
      <c r="F44" s="15"/>
      <c r="G44" s="15"/>
    </row>
    <row r="45" spans="1:7" s="19" customFormat="1" ht="15" customHeight="1" x14ac:dyDescent="0.2">
      <c r="A45" s="37" t="str">
        <f>+A68</f>
        <v>1.2. Coletor Turno Noite</v>
      </c>
      <c r="B45" s="39"/>
      <c r="C45" s="39"/>
      <c r="D45" s="57"/>
      <c r="E45" s="58">
        <f>C84</f>
        <v>0</v>
      </c>
      <c r="F45" s="15"/>
      <c r="G45" s="15"/>
    </row>
    <row r="46" spans="1:7" s="19" customFormat="1" ht="15" customHeight="1" x14ac:dyDescent="0.2">
      <c r="A46" s="37" t="str">
        <f>+A87</f>
        <v>1.3. Motorista Turno do Dia</v>
      </c>
      <c r="B46" s="39"/>
      <c r="C46" s="39"/>
      <c r="D46" s="57"/>
      <c r="E46" s="58">
        <f>C99</f>
        <v>1</v>
      </c>
      <c r="F46" s="15"/>
      <c r="G46" s="15"/>
    </row>
    <row r="47" spans="1:7" s="19" customFormat="1" ht="15" customHeight="1" x14ac:dyDescent="0.2">
      <c r="A47" s="37" t="str">
        <f>+A102</f>
        <v>1.4. Motorista Turno Noite</v>
      </c>
      <c r="B47" s="39"/>
      <c r="C47" s="39"/>
      <c r="D47" s="57"/>
      <c r="E47" s="58">
        <f>C120</f>
        <v>0</v>
      </c>
      <c r="F47" s="15"/>
      <c r="G47" s="15"/>
    </row>
    <row r="48" spans="1:7" s="19" customFormat="1" ht="15" customHeight="1" x14ac:dyDescent="0.2">
      <c r="A48" s="59" t="s">
        <v>12</v>
      </c>
      <c r="B48" s="60"/>
      <c r="C48" s="60"/>
      <c r="D48" s="61"/>
      <c r="E48" s="62">
        <f>SUM(E44:E47)</f>
        <v>3</v>
      </c>
      <c r="F48" s="15"/>
      <c r="G48" s="15"/>
    </row>
    <row r="49" spans="1:7" s="19" customFormat="1" ht="15" customHeight="1" x14ac:dyDescent="0.2">
      <c r="A49" s="63"/>
      <c r="B49" s="64"/>
      <c r="C49" s="15"/>
      <c r="D49" s="15"/>
      <c r="E49" s="24"/>
      <c r="F49" s="15"/>
      <c r="G49" s="15"/>
    </row>
    <row r="50" spans="1:7" s="19" customFormat="1" ht="15" customHeight="1" x14ac:dyDescent="0.2">
      <c r="A50" s="5" t="s">
        <v>13</v>
      </c>
      <c r="B50" s="5"/>
      <c r="C50" s="5"/>
      <c r="D50" s="5"/>
      <c r="E50" s="53" t="s">
        <v>11</v>
      </c>
      <c r="F50" s="14"/>
      <c r="G50" s="15"/>
    </row>
    <row r="51" spans="1:7" s="19" customFormat="1" ht="15" customHeight="1" x14ac:dyDescent="0.2">
      <c r="A51" s="65" t="str">
        <f>+A183</f>
        <v>3.1. Veículo Coletor Compactador 12 m³</v>
      </c>
      <c r="B51" s="66"/>
      <c r="C51" s="66"/>
      <c r="D51" s="67"/>
      <c r="E51" s="68">
        <f>C198</f>
        <v>1</v>
      </c>
      <c r="F51" s="14"/>
      <c r="G51" s="15"/>
    </row>
    <row r="52" spans="1:7" s="19" customFormat="1" ht="15" customHeight="1" x14ac:dyDescent="0.2">
      <c r="A52" s="15"/>
      <c r="B52" s="15"/>
      <c r="C52" s="15"/>
      <c r="D52" s="14"/>
      <c r="E52" s="69"/>
      <c r="F52" s="14"/>
      <c r="G52" s="15"/>
    </row>
    <row r="53" spans="1:7" s="19" customFormat="1" x14ac:dyDescent="0.2">
      <c r="A53" s="15"/>
      <c r="B53" s="15"/>
      <c r="C53" s="15"/>
      <c r="D53" s="14"/>
      <c r="E53" s="70"/>
      <c r="F53" s="14"/>
      <c r="G53" s="15"/>
    </row>
    <row r="54" spans="1:7" s="36" customFormat="1" ht="15.75" customHeight="1" x14ac:dyDescent="0.2">
      <c r="A54" s="71" t="s">
        <v>14</v>
      </c>
      <c r="B54" s="72">
        <v>0.72719999999999996</v>
      </c>
      <c r="C54" s="35"/>
      <c r="E54" s="73"/>
      <c r="G54" s="35"/>
    </row>
    <row r="55" spans="1:7" s="19" customFormat="1" ht="15.75" customHeight="1" x14ac:dyDescent="0.2">
      <c r="A55" s="15"/>
      <c r="B55" s="15"/>
      <c r="C55" s="15"/>
      <c r="D55" s="14"/>
      <c r="E55" s="70"/>
      <c r="F55" s="14"/>
      <c r="G55" s="15"/>
    </row>
    <row r="56" spans="1:7" ht="12.75" customHeight="1" x14ac:dyDescent="0.2">
      <c r="A56" s="36" t="s">
        <v>15</v>
      </c>
      <c r="B56" s="4" t="s">
        <v>16</v>
      </c>
      <c r="C56" s="4"/>
      <c r="D56" s="4"/>
      <c r="E56" s="4" t="s">
        <v>17</v>
      </c>
      <c r="F56" s="4"/>
    </row>
    <row r="57" spans="1:7" ht="11.25" customHeight="1" x14ac:dyDescent="0.2">
      <c r="B57" s="4"/>
      <c r="C57" s="4"/>
      <c r="D57" s="4"/>
      <c r="E57" s="4"/>
      <c r="F57" s="4"/>
    </row>
    <row r="58" spans="1:7" ht="21" customHeight="1" x14ac:dyDescent="0.2">
      <c r="A58" s="14" t="s">
        <v>18</v>
      </c>
      <c r="B58" s="4"/>
      <c r="C58" s="4"/>
      <c r="D58" s="4"/>
      <c r="E58" s="4"/>
      <c r="F58" s="4"/>
    </row>
    <row r="59" spans="1:7" ht="13.5" customHeight="1" x14ac:dyDescent="0.2">
      <c r="A59" s="74" t="s">
        <v>19</v>
      </c>
      <c r="B59" s="75" t="s">
        <v>20</v>
      </c>
      <c r="C59" s="75" t="s">
        <v>11</v>
      </c>
      <c r="D59" s="76" t="s">
        <v>21</v>
      </c>
      <c r="E59" s="76" t="s">
        <v>22</v>
      </c>
      <c r="F59" s="77" t="s">
        <v>23</v>
      </c>
    </row>
    <row r="60" spans="1:7" ht="12.75" customHeight="1" x14ac:dyDescent="0.2">
      <c r="A60" s="78" t="s">
        <v>24</v>
      </c>
      <c r="B60" s="79" t="s">
        <v>25</v>
      </c>
      <c r="C60" s="79">
        <v>1</v>
      </c>
      <c r="D60" s="80">
        <v>1816.57</v>
      </c>
      <c r="E60" s="81">
        <f>C60*D60</f>
        <v>1816.57</v>
      </c>
    </row>
    <row r="61" spans="1:7" x14ac:dyDescent="0.2">
      <c r="A61" s="82" t="s">
        <v>26</v>
      </c>
      <c r="B61" s="83" t="s">
        <v>7</v>
      </c>
      <c r="C61" s="83">
        <v>40</v>
      </c>
      <c r="D61" s="84">
        <f>SUM(E60:E60)</f>
        <v>1816.57</v>
      </c>
      <c r="E61" s="84">
        <f>C61*D61/100</f>
        <v>726.62800000000004</v>
      </c>
    </row>
    <row r="62" spans="1:7" x14ac:dyDescent="0.2">
      <c r="A62" s="85" t="s">
        <v>27</v>
      </c>
      <c r="B62" s="86"/>
      <c r="C62" s="86"/>
      <c r="D62" s="87"/>
      <c r="E62" s="88">
        <f>SUM(E60:E61)</f>
        <v>2543.1979999999999</v>
      </c>
    </row>
    <row r="63" spans="1:7" x14ac:dyDescent="0.2">
      <c r="A63" s="82" t="s">
        <v>28</v>
      </c>
      <c r="B63" s="83" t="s">
        <v>7</v>
      </c>
      <c r="C63" s="89">
        <f>'2.Encargos Sociais'!$C$37*100</f>
        <v>70.595951999999997</v>
      </c>
      <c r="D63" s="84">
        <f>E62</f>
        <v>2543.1979999999999</v>
      </c>
      <c r="E63" s="84">
        <f>D63*C63/100</f>
        <v>1795.3948393449598</v>
      </c>
    </row>
    <row r="64" spans="1:7" x14ac:dyDescent="0.2">
      <c r="A64" s="85" t="s">
        <v>29</v>
      </c>
      <c r="B64" s="86"/>
      <c r="C64" s="86"/>
      <c r="D64" s="87"/>
      <c r="E64" s="88">
        <f>E62+E63</f>
        <v>4338.5928393449594</v>
      </c>
    </row>
    <row r="65" spans="1:7" x14ac:dyDescent="0.2">
      <c r="A65" s="82" t="s">
        <v>30</v>
      </c>
      <c r="B65" s="83" t="s">
        <v>31</v>
      </c>
      <c r="C65" s="90">
        <v>2</v>
      </c>
      <c r="D65" s="84">
        <f>E64</f>
        <v>4338.5928393449594</v>
      </c>
      <c r="E65" s="84">
        <f>C65*D65</f>
        <v>8677.1856786899189</v>
      </c>
    </row>
    <row r="66" spans="1:7" ht="13.5" customHeight="1" x14ac:dyDescent="0.2">
      <c r="D66" s="91" t="s">
        <v>32</v>
      </c>
      <c r="E66" s="92">
        <f>$B$54</f>
        <v>0.72719999999999996</v>
      </c>
      <c r="F66" s="93">
        <f>E65*E66</f>
        <v>6310.0494255433086</v>
      </c>
    </row>
    <row r="67" spans="1:7" ht="11.25" customHeight="1" x14ac:dyDescent="0.2"/>
    <row r="68" spans="1:7" x14ac:dyDescent="0.2">
      <c r="A68" s="14" t="s">
        <v>33</v>
      </c>
    </row>
    <row r="69" spans="1:7" x14ac:dyDescent="0.2">
      <c r="A69" s="74" t="s">
        <v>19</v>
      </c>
      <c r="B69" s="94" t="s">
        <v>20</v>
      </c>
      <c r="C69" s="94" t="s">
        <v>11</v>
      </c>
      <c r="D69" s="95" t="s">
        <v>21</v>
      </c>
      <c r="E69" s="95" t="s">
        <v>22</v>
      </c>
      <c r="F69" s="96" t="s">
        <v>23</v>
      </c>
    </row>
    <row r="70" spans="1:7" x14ac:dyDescent="0.2">
      <c r="A70" s="78" t="s">
        <v>24</v>
      </c>
      <c r="B70" s="79" t="s">
        <v>25</v>
      </c>
      <c r="C70" s="79">
        <v>1</v>
      </c>
      <c r="D70" s="81">
        <f>D60</f>
        <v>1816.57</v>
      </c>
      <c r="E70" s="81">
        <f>C70*D70</f>
        <v>1816.57</v>
      </c>
    </row>
    <row r="71" spans="1:7" x14ac:dyDescent="0.2">
      <c r="A71" s="82" t="s">
        <v>34</v>
      </c>
      <c r="B71" s="83" t="s">
        <v>35</v>
      </c>
      <c r="C71" s="97"/>
      <c r="D71" s="84"/>
      <c r="E71" s="84"/>
    </row>
    <row r="72" spans="1:7" x14ac:dyDescent="0.2">
      <c r="A72" s="82"/>
      <c r="B72" s="83" t="s">
        <v>36</v>
      </c>
      <c r="C72" s="98">
        <f>C71*8/7</f>
        <v>0</v>
      </c>
      <c r="D72" s="84">
        <f>D70/220*0.2</f>
        <v>1.6514272727272727</v>
      </c>
      <c r="E72" s="84">
        <f>C72*D72</f>
        <v>0</v>
      </c>
    </row>
    <row r="73" spans="1:7" x14ac:dyDescent="0.2">
      <c r="A73" s="82" t="s">
        <v>37</v>
      </c>
      <c r="B73" s="83" t="s">
        <v>38</v>
      </c>
      <c r="C73" s="97"/>
      <c r="D73" s="84">
        <f>D70/220*2</f>
        <v>16.514272727272726</v>
      </c>
      <c r="E73" s="84">
        <f>C73*D73</f>
        <v>0</v>
      </c>
      <c r="G73" s="15" t="s">
        <v>39</v>
      </c>
    </row>
    <row r="74" spans="1:7" x14ac:dyDescent="0.2">
      <c r="A74" s="82" t="s">
        <v>40</v>
      </c>
      <c r="B74" s="83" t="s">
        <v>35</v>
      </c>
      <c r="C74" s="97"/>
      <c r="D74" s="84"/>
      <c r="E74" s="84"/>
      <c r="G74" s="15" t="s">
        <v>41</v>
      </c>
    </row>
    <row r="75" spans="1:7" x14ac:dyDescent="0.2">
      <c r="A75" s="82"/>
      <c r="B75" s="83" t="s">
        <v>36</v>
      </c>
      <c r="C75" s="98">
        <f>C74*8/7</f>
        <v>0</v>
      </c>
      <c r="D75" s="84">
        <f>D70/220*2*1.2</f>
        <v>19.817127272727269</v>
      </c>
      <c r="E75" s="84">
        <f>C75*D75</f>
        <v>0</v>
      </c>
      <c r="G75" s="15" t="s">
        <v>41</v>
      </c>
    </row>
    <row r="76" spans="1:7" x14ac:dyDescent="0.2">
      <c r="A76" s="82" t="s">
        <v>42</v>
      </c>
      <c r="B76" s="83" t="s">
        <v>38</v>
      </c>
      <c r="C76" s="97"/>
      <c r="D76" s="84">
        <f>D70/220*1.5</f>
        <v>12.385704545454544</v>
      </c>
      <c r="E76" s="84">
        <f>C76*D76</f>
        <v>0</v>
      </c>
      <c r="G76" s="15" t="s">
        <v>43</v>
      </c>
    </row>
    <row r="77" spans="1:7" x14ac:dyDescent="0.2">
      <c r="A77" s="82" t="s">
        <v>44</v>
      </c>
      <c r="B77" s="83" t="s">
        <v>35</v>
      </c>
      <c r="C77" s="97"/>
      <c r="D77" s="84"/>
      <c r="E77" s="84"/>
      <c r="G77" s="15" t="s">
        <v>45</v>
      </c>
    </row>
    <row r="78" spans="1:7" x14ac:dyDescent="0.2">
      <c r="A78" s="82"/>
      <c r="B78" s="83" t="s">
        <v>36</v>
      </c>
      <c r="C78" s="84">
        <f>C77*8/7</f>
        <v>0</v>
      </c>
      <c r="D78" s="84">
        <f>D70/220*1.5*1.2</f>
        <v>14.862845454545452</v>
      </c>
      <c r="E78" s="84">
        <f>C78*D78</f>
        <v>0</v>
      </c>
      <c r="G78" s="15" t="s">
        <v>45</v>
      </c>
    </row>
    <row r="79" spans="1:7" ht="12.75" customHeight="1" x14ac:dyDescent="0.2">
      <c r="A79" s="82" t="s">
        <v>46</v>
      </c>
      <c r="B79" s="83" t="s">
        <v>47</v>
      </c>
      <c r="D79" s="84">
        <f>63/302*(SUM(E73:E78))</f>
        <v>0</v>
      </c>
      <c r="E79" s="84">
        <f>D79</f>
        <v>0</v>
      </c>
      <c r="G79" s="15" t="s">
        <v>48</v>
      </c>
    </row>
    <row r="80" spans="1:7" x14ac:dyDescent="0.2">
      <c r="A80" s="82" t="s">
        <v>26</v>
      </c>
      <c r="B80" s="83" t="s">
        <v>7</v>
      </c>
      <c r="C80" s="83">
        <f>+C61</f>
        <v>40</v>
      </c>
      <c r="D80" s="84">
        <f>SUM(E70:E79)</f>
        <v>1816.57</v>
      </c>
      <c r="E80" s="84">
        <f>C80*D80/100</f>
        <v>726.62800000000004</v>
      </c>
    </row>
    <row r="81" spans="1:7" x14ac:dyDescent="0.2">
      <c r="A81" s="85" t="s">
        <v>27</v>
      </c>
      <c r="B81" s="86"/>
      <c r="C81" s="86"/>
      <c r="D81" s="87"/>
      <c r="E81" s="88">
        <f>SUM(E70:E80)</f>
        <v>2543.1979999999999</v>
      </c>
    </row>
    <row r="82" spans="1:7" x14ac:dyDescent="0.2">
      <c r="A82" s="82" t="s">
        <v>28</v>
      </c>
      <c r="B82" s="83" t="s">
        <v>7</v>
      </c>
      <c r="C82" s="89">
        <f>'2.Encargos Sociais'!$C$37*100</f>
        <v>70.595951999999997</v>
      </c>
      <c r="D82" s="84">
        <f>E81</f>
        <v>2543.1979999999999</v>
      </c>
      <c r="E82" s="84">
        <f>D82*C82/100</f>
        <v>1795.3948393449598</v>
      </c>
    </row>
    <row r="83" spans="1:7" x14ac:dyDescent="0.2">
      <c r="A83" s="85" t="s">
        <v>29</v>
      </c>
      <c r="B83" s="86"/>
      <c r="C83" s="86"/>
      <c r="D83" s="87"/>
      <c r="E83" s="88">
        <f>E81+E82</f>
        <v>4338.5928393449594</v>
      </c>
    </row>
    <row r="84" spans="1:7" x14ac:dyDescent="0.2">
      <c r="A84" s="82" t="s">
        <v>30</v>
      </c>
      <c r="B84" s="83" t="s">
        <v>31</v>
      </c>
      <c r="C84" s="90"/>
      <c r="D84" s="84">
        <f>E83</f>
        <v>4338.5928393449594</v>
      </c>
      <c r="E84" s="84">
        <f>C84*D84</f>
        <v>0</v>
      </c>
    </row>
    <row r="85" spans="1:7" x14ac:dyDescent="0.2">
      <c r="D85" s="91" t="s">
        <v>32</v>
      </c>
      <c r="E85" s="92">
        <f>$B$54</f>
        <v>0.72719999999999996</v>
      </c>
      <c r="F85" s="93">
        <f>E84*E85</f>
        <v>0</v>
      </c>
    </row>
    <row r="86" spans="1:7" ht="11.25" customHeight="1" x14ac:dyDescent="0.2"/>
    <row r="87" spans="1:7" x14ac:dyDescent="0.2">
      <c r="A87" s="14" t="s">
        <v>49</v>
      </c>
    </row>
    <row r="88" spans="1:7" s="99" customFormat="1" ht="12.75" customHeight="1" x14ac:dyDescent="0.2">
      <c r="A88" s="74" t="s">
        <v>19</v>
      </c>
      <c r="B88" s="94" t="s">
        <v>20</v>
      </c>
      <c r="C88" s="94" t="s">
        <v>11</v>
      </c>
      <c r="D88" s="95" t="s">
        <v>21</v>
      </c>
      <c r="E88" s="95" t="s">
        <v>22</v>
      </c>
      <c r="F88" s="96" t="s">
        <v>23</v>
      </c>
      <c r="G88" s="15"/>
    </row>
    <row r="89" spans="1:7" x14ac:dyDescent="0.2">
      <c r="A89" s="78" t="s">
        <v>50</v>
      </c>
      <c r="B89" s="79" t="s">
        <v>25</v>
      </c>
      <c r="C89" s="79">
        <v>1</v>
      </c>
      <c r="D89" s="80">
        <v>2251.4899999999998</v>
      </c>
      <c r="E89" s="81">
        <f>C89*D89</f>
        <v>2251.4899999999998</v>
      </c>
    </row>
    <row r="90" spans="1:7" x14ac:dyDescent="0.2">
      <c r="A90" s="78" t="s">
        <v>51</v>
      </c>
      <c r="B90" s="79" t="s">
        <v>25</v>
      </c>
      <c r="C90" s="79">
        <v>1</v>
      </c>
      <c r="D90" s="80">
        <v>1412</v>
      </c>
      <c r="E90" s="81"/>
    </row>
    <row r="91" spans="1:7" x14ac:dyDescent="0.2">
      <c r="A91" s="82" t="s">
        <v>37</v>
      </c>
      <c r="B91" s="83" t="s">
        <v>38</v>
      </c>
      <c r="C91" s="97"/>
      <c r="D91" s="84">
        <f>D89/220*2</f>
        <v>20.468090909090908</v>
      </c>
      <c r="E91" s="84">
        <f>C91*D91</f>
        <v>0</v>
      </c>
      <c r="G91" s="15" t="s">
        <v>39</v>
      </c>
    </row>
    <row r="92" spans="1:7" x14ac:dyDescent="0.2">
      <c r="A92" s="82" t="s">
        <v>42</v>
      </c>
      <c r="B92" s="83" t="s">
        <v>38</v>
      </c>
      <c r="C92" s="97"/>
      <c r="D92" s="84">
        <f>D89/220*1.5</f>
        <v>15.351068181818182</v>
      </c>
      <c r="E92" s="84">
        <f>C92*D92</f>
        <v>0</v>
      </c>
      <c r="G92" s="15" t="s">
        <v>43</v>
      </c>
    </row>
    <row r="93" spans="1:7" ht="12.75" customHeight="1" x14ac:dyDescent="0.2">
      <c r="A93" s="82" t="s">
        <v>46</v>
      </c>
      <c r="B93" s="83" t="s">
        <v>47</v>
      </c>
      <c r="D93" s="84">
        <f>63/302*(SUM(E91:E92))</f>
        <v>0</v>
      </c>
      <c r="E93" s="84">
        <f>D93</f>
        <v>0</v>
      </c>
      <c r="G93" s="15" t="s">
        <v>48</v>
      </c>
    </row>
    <row r="94" spans="1:7" x14ac:dyDescent="0.2">
      <c r="A94" s="82" t="s">
        <v>52</v>
      </c>
      <c r="B94" s="83"/>
      <c r="C94" s="100">
        <v>1</v>
      </c>
      <c r="D94" s="84"/>
      <c r="E94" s="84"/>
    </row>
    <row r="95" spans="1:7" x14ac:dyDescent="0.2">
      <c r="A95" s="82" t="s">
        <v>26</v>
      </c>
      <c r="B95" s="83" t="s">
        <v>7</v>
      </c>
      <c r="C95" s="90">
        <v>40</v>
      </c>
      <c r="D95" s="84">
        <f>IF(C94=2,SUM(E89:E93),IF(C94=1,(SUM(E89:E93))*D90/D89,0))</f>
        <v>1412</v>
      </c>
      <c r="E95" s="84">
        <f>C95*D95/100</f>
        <v>564.79999999999995</v>
      </c>
    </row>
    <row r="96" spans="1:7" s="36" customFormat="1" x14ac:dyDescent="0.2">
      <c r="A96" s="101" t="s">
        <v>27</v>
      </c>
      <c r="B96" s="86"/>
      <c r="C96" s="86"/>
      <c r="D96" s="87"/>
      <c r="E96" s="102">
        <f>SUM(E89:E95)</f>
        <v>2816.29</v>
      </c>
      <c r="F96" s="35"/>
      <c r="G96" s="35"/>
    </row>
    <row r="97" spans="1:7" x14ac:dyDescent="0.2">
      <c r="A97" s="82" t="s">
        <v>28</v>
      </c>
      <c r="B97" s="83" t="s">
        <v>7</v>
      </c>
      <c r="C97" s="89">
        <f>'2.Encargos Sociais'!$C$37*100</f>
        <v>70.595951999999997</v>
      </c>
      <c r="D97" s="84">
        <f>E96</f>
        <v>2816.29</v>
      </c>
      <c r="E97" s="84">
        <f>D97*C97/100</f>
        <v>1988.1867365808</v>
      </c>
    </row>
    <row r="98" spans="1:7" s="36" customFormat="1" x14ac:dyDescent="0.2">
      <c r="A98" s="101" t="s">
        <v>53</v>
      </c>
      <c r="B98" s="103"/>
      <c r="C98" s="103"/>
      <c r="D98" s="104"/>
      <c r="E98" s="102">
        <f>E96+E97</f>
        <v>4804.4767365808002</v>
      </c>
      <c r="F98" s="35"/>
      <c r="G98" s="35"/>
    </row>
    <row r="99" spans="1:7" x14ac:dyDescent="0.2">
      <c r="A99" s="82" t="s">
        <v>30</v>
      </c>
      <c r="B99" s="83" t="s">
        <v>31</v>
      </c>
      <c r="C99" s="90">
        <v>1</v>
      </c>
      <c r="D99" s="84">
        <f>E98</f>
        <v>4804.4767365808002</v>
      </c>
      <c r="E99" s="84">
        <f>C99*D99</f>
        <v>4804.4767365808002</v>
      </c>
    </row>
    <row r="100" spans="1:7" x14ac:dyDescent="0.2">
      <c r="D100" s="91" t="s">
        <v>32</v>
      </c>
      <c r="E100" s="92">
        <f>$B$54</f>
        <v>0.72719999999999996</v>
      </c>
      <c r="F100" s="93">
        <f>E99*E100</f>
        <v>3493.8154828415577</v>
      </c>
    </row>
    <row r="101" spans="1:7" ht="11.25" customHeight="1" x14ac:dyDescent="0.2"/>
    <row r="102" spans="1:7" x14ac:dyDescent="0.2">
      <c r="A102" s="14" t="s">
        <v>54</v>
      </c>
    </row>
    <row r="103" spans="1:7" x14ac:dyDescent="0.2">
      <c r="A103" s="74" t="s">
        <v>19</v>
      </c>
      <c r="B103" s="94" t="s">
        <v>20</v>
      </c>
      <c r="C103" s="94" t="s">
        <v>11</v>
      </c>
      <c r="D103" s="95" t="s">
        <v>21</v>
      </c>
      <c r="E103" s="95" t="s">
        <v>22</v>
      </c>
      <c r="F103" s="96" t="s">
        <v>23</v>
      </c>
    </row>
    <row r="104" spans="1:7" x14ac:dyDescent="0.2">
      <c r="A104" s="78" t="s">
        <v>50</v>
      </c>
      <c r="B104" s="79" t="s">
        <v>25</v>
      </c>
      <c r="C104" s="79">
        <v>1</v>
      </c>
      <c r="D104" s="81">
        <f>D89</f>
        <v>2251.4899999999998</v>
      </c>
      <c r="E104" s="81">
        <f>C104*D104</f>
        <v>2251.4899999999998</v>
      </c>
    </row>
    <row r="105" spans="1:7" x14ac:dyDescent="0.2">
      <c r="A105" s="78" t="s">
        <v>51</v>
      </c>
      <c r="B105" s="79" t="s">
        <v>25</v>
      </c>
      <c r="C105" s="79">
        <v>1</v>
      </c>
      <c r="D105" s="84">
        <f>D90</f>
        <v>1412</v>
      </c>
      <c r="E105" s="84"/>
    </row>
    <row r="106" spans="1:7" x14ac:dyDescent="0.2">
      <c r="A106" s="82" t="s">
        <v>34</v>
      </c>
      <c r="B106" s="83" t="s">
        <v>35</v>
      </c>
      <c r="C106" s="97"/>
      <c r="D106" s="82"/>
      <c r="E106" s="82"/>
    </row>
    <row r="107" spans="1:7" x14ac:dyDescent="0.2">
      <c r="A107" s="82"/>
      <c r="B107" s="83" t="s">
        <v>36</v>
      </c>
      <c r="C107" s="84">
        <f>C106*8/7</f>
        <v>0</v>
      </c>
      <c r="D107" s="84">
        <f>D104/220*0.2</f>
        <v>2.046809090909091</v>
      </c>
      <c r="E107" s="84">
        <f>C107*D107</f>
        <v>0</v>
      </c>
    </row>
    <row r="108" spans="1:7" x14ac:dyDescent="0.2">
      <c r="A108" s="82" t="s">
        <v>37</v>
      </c>
      <c r="B108" s="83" t="s">
        <v>38</v>
      </c>
      <c r="C108" s="97"/>
      <c r="D108" s="84">
        <f>D104/220*2</f>
        <v>20.468090909090908</v>
      </c>
      <c r="E108" s="84">
        <f>C108*D108</f>
        <v>0</v>
      </c>
      <c r="G108" s="15" t="s">
        <v>39</v>
      </c>
    </row>
    <row r="109" spans="1:7" x14ac:dyDescent="0.2">
      <c r="A109" s="82" t="s">
        <v>40</v>
      </c>
      <c r="B109" s="83" t="s">
        <v>35</v>
      </c>
      <c r="C109" s="97"/>
      <c r="D109" s="84"/>
      <c r="E109" s="84"/>
      <c r="G109" s="15" t="s">
        <v>41</v>
      </c>
    </row>
    <row r="110" spans="1:7" x14ac:dyDescent="0.2">
      <c r="A110" s="82"/>
      <c r="B110" s="83" t="s">
        <v>36</v>
      </c>
      <c r="C110" s="84">
        <f>C109*8/7</f>
        <v>0</v>
      </c>
      <c r="D110" s="84">
        <f>D104/220*2*1.2</f>
        <v>24.561709090909087</v>
      </c>
      <c r="E110" s="84">
        <f>C110*D110</f>
        <v>0</v>
      </c>
      <c r="G110" s="15" t="s">
        <v>41</v>
      </c>
    </row>
    <row r="111" spans="1:7" x14ac:dyDescent="0.2">
      <c r="A111" s="82" t="s">
        <v>42</v>
      </c>
      <c r="B111" s="83" t="s">
        <v>38</v>
      </c>
      <c r="C111" s="97"/>
      <c r="D111" s="84">
        <f>D104/220*1.5</f>
        <v>15.351068181818182</v>
      </c>
      <c r="E111" s="84">
        <f>C111*D111</f>
        <v>0</v>
      </c>
      <c r="G111" s="15" t="s">
        <v>43</v>
      </c>
    </row>
    <row r="112" spans="1:7" x14ac:dyDescent="0.2">
      <c r="A112" s="82" t="s">
        <v>44</v>
      </c>
      <c r="B112" s="83" t="s">
        <v>35</v>
      </c>
      <c r="C112" s="97"/>
      <c r="D112" s="84"/>
      <c r="E112" s="84"/>
      <c r="G112" s="15" t="s">
        <v>45</v>
      </c>
    </row>
    <row r="113" spans="1:7" x14ac:dyDescent="0.2">
      <c r="A113" s="82"/>
      <c r="B113" s="83" t="s">
        <v>36</v>
      </c>
      <c r="C113" s="84">
        <f>C112*8/7</f>
        <v>0</v>
      </c>
      <c r="D113" s="84">
        <f>D104/220*1.5*1.2</f>
        <v>18.421281818181818</v>
      </c>
      <c r="E113" s="84">
        <f>C113*D113</f>
        <v>0</v>
      </c>
      <c r="G113" s="15" t="s">
        <v>45</v>
      </c>
    </row>
    <row r="114" spans="1:7" ht="12.75" customHeight="1" x14ac:dyDescent="0.2">
      <c r="A114" s="82" t="s">
        <v>46</v>
      </c>
      <c r="B114" s="83" t="s">
        <v>47</v>
      </c>
      <c r="D114" s="84">
        <f>63/302*(SUM(E108:E113))</f>
        <v>0</v>
      </c>
      <c r="E114" s="84">
        <f>D114</f>
        <v>0</v>
      </c>
      <c r="G114" s="15" t="s">
        <v>48</v>
      </c>
    </row>
    <row r="115" spans="1:7" x14ac:dyDescent="0.2">
      <c r="A115" s="82" t="s">
        <v>52</v>
      </c>
      <c r="B115" s="83"/>
      <c r="C115" s="100"/>
      <c r="D115" s="84"/>
      <c r="E115" s="84"/>
    </row>
    <row r="116" spans="1:7" x14ac:dyDescent="0.2">
      <c r="A116" s="82" t="s">
        <v>26</v>
      </c>
      <c r="B116" s="83" t="s">
        <v>7</v>
      </c>
      <c r="C116" s="84">
        <f>+C95</f>
        <v>40</v>
      </c>
      <c r="D116" s="84">
        <f>IF(C115=2,SUM(E104:E114),IF(C115=1,SUM(E104:E114)*D105/D104,0))</f>
        <v>0</v>
      </c>
      <c r="E116" s="84">
        <f>C116*D116/100</f>
        <v>0</v>
      </c>
    </row>
    <row r="117" spans="1:7" s="36" customFormat="1" x14ac:dyDescent="0.2">
      <c r="A117" s="85" t="s">
        <v>27</v>
      </c>
      <c r="B117" s="86"/>
      <c r="C117" s="86"/>
      <c r="D117" s="87"/>
      <c r="E117" s="88">
        <f>SUM(E104:E116)</f>
        <v>2251.4899999999998</v>
      </c>
      <c r="F117" s="35"/>
      <c r="G117" s="35"/>
    </row>
    <row r="118" spans="1:7" x14ac:dyDescent="0.2">
      <c r="A118" s="82" t="s">
        <v>28</v>
      </c>
      <c r="B118" s="83" t="s">
        <v>7</v>
      </c>
      <c r="C118" s="89">
        <f>'2.Encargos Sociais'!$C$37*100</f>
        <v>70.595951999999997</v>
      </c>
      <c r="D118" s="84">
        <f>E117</f>
        <v>2251.4899999999998</v>
      </c>
      <c r="E118" s="84">
        <f>D118*C118/100</f>
        <v>1589.4607996847999</v>
      </c>
    </row>
    <row r="119" spans="1:7" s="36" customFormat="1" x14ac:dyDescent="0.2">
      <c r="A119" s="85" t="s">
        <v>53</v>
      </c>
      <c r="B119" s="86"/>
      <c r="C119" s="86"/>
      <c r="D119" s="87"/>
      <c r="E119" s="88">
        <f>E117+E118</f>
        <v>3840.9507996847997</v>
      </c>
      <c r="F119" s="35"/>
      <c r="G119" s="35"/>
    </row>
    <row r="120" spans="1:7" x14ac:dyDescent="0.2">
      <c r="A120" s="82" t="s">
        <v>30</v>
      </c>
      <c r="B120" s="83" t="s">
        <v>31</v>
      </c>
      <c r="C120" s="90"/>
      <c r="D120" s="84">
        <f>E119</f>
        <v>3840.9507996847997</v>
      </c>
      <c r="E120" s="84">
        <f>C120*D120</f>
        <v>0</v>
      </c>
    </row>
    <row r="121" spans="1:7" x14ac:dyDescent="0.2">
      <c r="D121" s="91" t="s">
        <v>32</v>
      </c>
      <c r="E121" s="92">
        <f>$B$54</f>
        <v>0.72719999999999996</v>
      </c>
      <c r="F121" s="93">
        <f>E120*E121</f>
        <v>0</v>
      </c>
    </row>
    <row r="122" spans="1:7" ht="11.25" customHeight="1" x14ac:dyDescent="0.2">
      <c r="G122" s="14"/>
    </row>
    <row r="123" spans="1:7" x14ac:dyDescent="0.2">
      <c r="A123" s="14" t="s">
        <v>55</v>
      </c>
      <c r="B123" s="105"/>
      <c r="D123" s="14"/>
      <c r="E123" s="14"/>
      <c r="G123" s="14"/>
    </row>
    <row r="124" spans="1:7" x14ac:dyDescent="0.2">
      <c r="A124" s="74" t="s">
        <v>19</v>
      </c>
      <c r="B124" s="94" t="s">
        <v>20</v>
      </c>
      <c r="C124" s="94" t="s">
        <v>11</v>
      </c>
      <c r="D124" s="95" t="s">
        <v>21</v>
      </c>
      <c r="E124" s="95" t="s">
        <v>22</v>
      </c>
      <c r="F124" s="96" t="s">
        <v>23</v>
      </c>
      <c r="G124" s="14"/>
    </row>
    <row r="125" spans="1:7" x14ac:dyDescent="0.2">
      <c r="A125" s="82" t="s">
        <v>56</v>
      </c>
      <c r="B125" s="83" t="s">
        <v>47</v>
      </c>
      <c r="C125" s="106">
        <v>1</v>
      </c>
      <c r="D125" s="107">
        <v>2.79</v>
      </c>
      <c r="E125" s="84"/>
      <c r="G125" s="14"/>
    </row>
    <row r="126" spans="1:7" x14ac:dyDescent="0.2">
      <c r="A126" s="82" t="s">
        <v>57</v>
      </c>
      <c r="B126" s="83" t="s">
        <v>58</v>
      </c>
      <c r="C126" s="108">
        <v>16</v>
      </c>
      <c r="D126" s="84"/>
      <c r="E126" s="84"/>
      <c r="G126" s="14"/>
    </row>
    <row r="127" spans="1:7" x14ac:dyDescent="0.2">
      <c r="A127" s="82" t="s">
        <v>59</v>
      </c>
      <c r="B127" s="83" t="s">
        <v>60</v>
      </c>
      <c r="C127" s="109">
        <f>$C$126*2*(C65+C84)</f>
        <v>64</v>
      </c>
      <c r="D127" s="81">
        <f>IFERROR((($C$126*2*$D$125)-(E60*0.06*C126/26))/($C$126*2),"-")</f>
        <v>0.69395769230769266</v>
      </c>
      <c r="E127" s="84">
        <f>IFERROR(C127*D127,"-")</f>
        <v>44.41329230769233</v>
      </c>
      <c r="G127" s="14"/>
    </row>
    <row r="128" spans="1:7" x14ac:dyDescent="0.2">
      <c r="A128" s="78" t="s">
        <v>61</v>
      </c>
      <c r="B128" s="79" t="s">
        <v>60</v>
      </c>
      <c r="C128" s="109">
        <f>$C$126*2*(C99+C120)</f>
        <v>32</v>
      </c>
      <c r="D128" s="81">
        <f>IFERROR((($C$126*2*$D$125)-(E89*0.06*C126/26))/($C$126*2),"-")</f>
        <v>0.19212692307692336</v>
      </c>
      <c r="E128" s="81">
        <f>IFERROR(C128*D128,"-")</f>
        <v>6.1480615384615476</v>
      </c>
      <c r="G128" s="14"/>
    </row>
    <row r="129" spans="1:7" x14ac:dyDescent="0.2">
      <c r="F129" s="110">
        <f>SUM(E127:E128)</f>
        <v>50.561353846153878</v>
      </c>
      <c r="G129" s="14"/>
    </row>
    <row r="130" spans="1:7" ht="11.25" customHeight="1" x14ac:dyDescent="0.2">
      <c r="G130" s="14"/>
    </row>
    <row r="131" spans="1:7" x14ac:dyDescent="0.2">
      <c r="A131" s="14" t="s">
        <v>62</v>
      </c>
      <c r="F131" s="35"/>
      <c r="G131" s="14"/>
    </row>
    <row r="132" spans="1:7" x14ac:dyDescent="0.2">
      <c r="A132" s="74" t="s">
        <v>19</v>
      </c>
      <c r="B132" s="94" t="s">
        <v>20</v>
      </c>
      <c r="C132" s="94" t="s">
        <v>11</v>
      </c>
      <c r="D132" s="95" t="s">
        <v>21</v>
      </c>
      <c r="E132" s="95" t="s">
        <v>22</v>
      </c>
      <c r="F132" s="96" t="s">
        <v>23</v>
      </c>
      <c r="G132" s="14"/>
    </row>
    <row r="133" spans="1:7" x14ac:dyDescent="0.2">
      <c r="A133" s="82" t="str">
        <f>+A127</f>
        <v>Coletor</v>
      </c>
      <c r="B133" s="83" t="s">
        <v>63</v>
      </c>
      <c r="C133" s="109">
        <f>C126*(E44+E45)</f>
        <v>32</v>
      </c>
      <c r="D133" s="111">
        <f>22-(22*0.19)</f>
        <v>17.82</v>
      </c>
      <c r="E133" s="92">
        <f>C133*D133</f>
        <v>570.24</v>
      </c>
      <c r="F133" s="35"/>
      <c r="G133" s="14"/>
    </row>
    <row r="134" spans="1:7" x14ac:dyDescent="0.2">
      <c r="A134" s="82" t="str">
        <f>+A128</f>
        <v>Motorista</v>
      </c>
      <c r="B134" s="83" t="s">
        <v>63</v>
      </c>
      <c r="C134" s="109">
        <f>C126*(E46+E47)</f>
        <v>16</v>
      </c>
      <c r="D134" s="111">
        <f>16-(16*0.2)</f>
        <v>12.8</v>
      </c>
      <c r="E134" s="92">
        <f>C134*D134</f>
        <v>204.8</v>
      </c>
      <c r="F134" s="35"/>
      <c r="G134" s="14"/>
    </row>
    <row r="135" spans="1:7" x14ac:dyDescent="0.2">
      <c r="F135" s="110">
        <f>SUM(E133:E134)</f>
        <v>775.04</v>
      </c>
      <c r="G135" s="14"/>
    </row>
    <row r="136" spans="1:7" x14ac:dyDescent="0.2">
      <c r="G136" s="14"/>
    </row>
    <row r="137" spans="1:7" x14ac:dyDescent="0.2">
      <c r="A137" s="14" t="s">
        <v>64</v>
      </c>
      <c r="F137" s="35"/>
      <c r="G137" s="14"/>
    </row>
    <row r="138" spans="1:7" x14ac:dyDescent="0.2">
      <c r="A138" s="74" t="s">
        <v>19</v>
      </c>
      <c r="B138" s="94" t="s">
        <v>20</v>
      </c>
      <c r="C138" s="94" t="s">
        <v>11</v>
      </c>
      <c r="D138" s="95" t="s">
        <v>21</v>
      </c>
      <c r="E138" s="95" t="s">
        <v>22</v>
      </c>
      <c r="F138" s="96" t="s">
        <v>23</v>
      </c>
      <c r="G138" s="14"/>
    </row>
    <row r="139" spans="1:7" x14ac:dyDescent="0.2">
      <c r="A139" s="82" t="str">
        <f>+A133</f>
        <v>Coletor</v>
      </c>
      <c r="B139" s="83" t="s">
        <v>63</v>
      </c>
      <c r="C139" s="109">
        <f>E44+E45</f>
        <v>2</v>
      </c>
      <c r="D139" s="111"/>
      <c r="E139" s="92">
        <f>C139*D139</f>
        <v>0</v>
      </c>
      <c r="F139" s="35"/>
      <c r="G139" s="14"/>
    </row>
    <row r="140" spans="1:7" x14ac:dyDescent="0.2">
      <c r="A140" s="82" t="str">
        <f>+A134</f>
        <v>Motorista</v>
      </c>
      <c r="B140" s="83" t="s">
        <v>63</v>
      </c>
      <c r="C140" s="109">
        <f>E46+E47</f>
        <v>1</v>
      </c>
      <c r="D140" s="111"/>
      <c r="E140" s="92">
        <f>C140*D140</f>
        <v>0</v>
      </c>
      <c r="F140" s="35"/>
      <c r="G140" s="14"/>
    </row>
    <row r="141" spans="1:7" x14ac:dyDescent="0.2">
      <c r="D141" s="91" t="s">
        <v>32</v>
      </c>
      <c r="E141" s="92">
        <f>$B$54</f>
        <v>0.72719999999999996</v>
      </c>
      <c r="F141" s="110">
        <f>SUM(E139:E140)*E141</f>
        <v>0</v>
      </c>
      <c r="G141" s="14"/>
    </row>
    <row r="142" spans="1:7" x14ac:dyDescent="0.2">
      <c r="G142" s="14"/>
    </row>
    <row r="143" spans="1:7" x14ac:dyDescent="0.2">
      <c r="A143" s="112" t="s">
        <v>65</v>
      </c>
      <c r="B143" s="113"/>
      <c r="C143" s="113"/>
      <c r="D143" s="50"/>
      <c r="E143" s="114"/>
      <c r="F143" s="110">
        <f>F141+F135+F129+F121+F100+F85+F66</f>
        <v>10629.466262231021</v>
      </c>
      <c r="G143" s="14"/>
    </row>
    <row r="145" spans="1:7" x14ac:dyDescent="0.2">
      <c r="A145" s="36" t="s">
        <v>66</v>
      </c>
      <c r="G145" s="14"/>
    </row>
    <row r="146" spans="1:7" ht="11.25" customHeight="1" x14ac:dyDescent="0.2">
      <c r="G146" s="14"/>
    </row>
    <row r="147" spans="1:7" ht="13.5" customHeight="1" x14ac:dyDescent="0.2">
      <c r="A147" s="14" t="s">
        <v>67</v>
      </c>
      <c r="G147" s="14"/>
    </row>
    <row r="148" spans="1:7" ht="11.25" customHeight="1" x14ac:dyDescent="0.2">
      <c r="G148" s="14"/>
    </row>
    <row r="149" spans="1:7" ht="27.75" customHeight="1" x14ac:dyDescent="0.2">
      <c r="A149" s="74" t="s">
        <v>19</v>
      </c>
      <c r="B149" s="94" t="s">
        <v>20</v>
      </c>
      <c r="C149" s="115" t="s">
        <v>68</v>
      </c>
      <c r="D149" s="95" t="s">
        <v>21</v>
      </c>
      <c r="E149" s="95" t="s">
        <v>22</v>
      </c>
      <c r="F149" s="96" t="s">
        <v>23</v>
      </c>
      <c r="G149" s="14"/>
    </row>
    <row r="150" spans="1:7" x14ac:dyDescent="0.2">
      <c r="A150" s="78" t="s">
        <v>69</v>
      </c>
      <c r="B150" s="79" t="s">
        <v>63</v>
      </c>
      <c r="C150" s="116">
        <v>4</v>
      </c>
      <c r="D150" s="80">
        <v>310</v>
      </c>
      <c r="E150" s="81">
        <f t="shared" ref="E150:E161" si="1">IFERROR(D150/C150,0)</f>
        <v>77.5</v>
      </c>
      <c r="G150" s="14"/>
    </row>
    <row r="151" spans="1:7" ht="12.75" customHeight="1" x14ac:dyDescent="0.2">
      <c r="A151" s="82" t="s">
        <v>70</v>
      </c>
      <c r="B151" s="83" t="s">
        <v>63</v>
      </c>
      <c r="C151" s="116">
        <v>3</v>
      </c>
      <c r="D151" s="80">
        <v>91.67</v>
      </c>
      <c r="E151" s="81">
        <f t="shared" si="1"/>
        <v>30.556666666666668</v>
      </c>
      <c r="G151" s="14"/>
    </row>
    <row r="152" spans="1:7" x14ac:dyDescent="0.2">
      <c r="A152" s="82" t="s">
        <v>71</v>
      </c>
      <c r="B152" s="83" t="s">
        <v>63</v>
      </c>
      <c r="C152" s="116">
        <v>2</v>
      </c>
      <c r="D152" s="80">
        <v>62.67</v>
      </c>
      <c r="E152" s="81">
        <f t="shared" si="1"/>
        <v>31.335000000000001</v>
      </c>
      <c r="G152" s="14"/>
    </row>
    <row r="153" spans="1:7" ht="12.75" customHeight="1" x14ac:dyDescent="0.2">
      <c r="A153" s="82" t="s">
        <v>72</v>
      </c>
      <c r="B153" s="83" t="s">
        <v>63</v>
      </c>
      <c r="C153" s="116">
        <v>2</v>
      </c>
      <c r="D153" s="80">
        <v>28</v>
      </c>
      <c r="E153" s="81">
        <f t="shared" si="1"/>
        <v>14</v>
      </c>
      <c r="G153" s="14"/>
    </row>
    <row r="154" spans="1:7" ht="13.5" customHeight="1" x14ac:dyDescent="0.2">
      <c r="A154" s="82" t="s">
        <v>73</v>
      </c>
      <c r="B154" s="83" t="s">
        <v>74</v>
      </c>
      <c r="C154" s="116">
        <v>3</v>
      </c>
      <c r="D154" s="80">
        <v>114.22</v>
      </c>
      <c r="E154" s="81">
        <f t="shared" si="1"/>
        <v>38.073333333333331</v>
      </c>
      <c r="G154" s="14"/>
    </row>
    <row r="155" spans="1:7" ht="12.75" customHeight="1" x14ac:dyDescent="0.2">
      <c r="A155" s="82" t="s">
        <v>75</v>
      </c>
      <c r="B155" s="83" t="s">
        <v>74</v>
      </c>
      <c r="C155" s="116">
        <v>3</v>
      </c>
      <c r="D155" s="80">
        <v>8.9700000000000006</v>
      </c>
      <c r="E155" s="81">
        <f t="shared" si="1"/>
        <v>2.99</v>
      </c>
    </row>
    <row r="156" spans="1:7" x14ac:dyDescent="0.2">
      <c r="A156" s="82" t="s">
        <v>76</v>
      </c>
      <c r="B156" s="83" t="s">
        <v>63</v>
      </c>
      <c r="C156" s="116">
        <v>6</v>
      </c>
      <c r="D156" s="80">
        <v>50.5</v>
      </c>
      <c r="E156" s="81">
        <f t="shared" si="1"/>
        <v>8.4166666666666661</v>
      </c>
    </row>
    <row r="157" spans="1:7" x14ac:dyDescent="0.2">
      <c r="A157" s="82" t="s">
        <v>77</v>
      </c>
      <c r="B157" s="83" t="s">
        <v>63</v>
      </c>
      <c r="C157" s="116">
        <v>2</v>
      </c>
      <c r="D157" s="80">
        <v>11.24</v>
      </c>
      <c r="E157" s="81">
        <f t="shared" si="1"/>
        <v>5.62</v>
      </c>
    </row>
    <row r="158" spans="1:7" x14ac:dyDescent="0.2">
      <c r="A158" s="82" t="s">
        <v>78</v>
      </c>
      <c r="B158" s="83" t="s">
        <v>63</v>
      </c>
      <c r="C158" s="116">
        <v>1</v>
      </c>
      <c r="D158" s="80">
        <v>176.8</v>
      </c>
      <c r="E158" s="81">
        <f t="shared" si="1"/>
        <v>176.8</v>
      </c>
    </row>
    <row r="159" spans="1:7" x14ac:dyDescent="0.2">
      <c r="A159" s="82" t="s">
        <v>79</v>
      </c>
      <c r="B159" s="83" t="s">
        <v>63</v>
      </c>
      <c r="C159" s="116">
        <v>1</v>
      </c>
      <c r="D159" s="80">
        <v>2.6</v>
      </c>
      <c r="E159" s="81">
        <f t="shared" si="1"/>
        <v>2.6</v>
      </c>
    </row>
    <row r="160" spans="1:7" x14ac:dyDescent="0.2">
      <c r="A160" s="82" t="s">
        <v>80</v>
      </c>
      <c r="B160" s="83" t="s">
        <v>74</v>
      </c>
      <c r="C160" s="116">
        <v>0.2</v>
      </c>
      <c r="D160" s="80">
        <v>11.13</v>
      </c>
      <c r="E160" s="81">
        <f t="shared" si="1"/>
        <v>55.65</v>
      </c>
    </row>
    <row r="161" spans="1:7" ht="12.75" customHeight="1" x14ac:dyDescent="0.2">
      <c r="A161" s="82" t="s">
        <v>81</v>
      </c>
      <c r="B161" s="83" t="s">
        <v>82</v>
      </c>
      <c r="C161" s="116">
        <v>1</v>
      </c>
      <c r="D161" s="80">
        <v>31.33</v>
      </c>
      <c r="E161" s="81">
        <f t="shared" si="1"/>
        <v>31.33</v>
      </c>
    </row>
    <row r="162" spans="1:7" x14ac:dyDescent="0.2">
      <c r="A162" s="82" t="s">
        <v>83</v>
      </c>
      <c r="B162" s="83" t="s">
        <v>84</v>
      </c>
      <c r="C162" s="117">
        <v>1</v>
      </c>
      <c r="D162" s="80">
        <v>26.2</v>
      </c>
      <c r="E162" s="84">
        <f>C162*D162</f>
        <v>26.2</v>
      </c>
    </row>
    <row r="163" spans="1:7" x14ac:dyDescent="0.2">
      <c r="A163" s="82" t="s">
        <v>30</v>
      </c>
      <c r="B163" s="83" t="s">
        <v>31</v>
      </c>
      <c r="C163" s="117">
        <f>E44+E45</f>
        <v>2</v>
      </c>
      <c r="D163" s="84">
        <f>+SUM(E150:E162)</f>
        <v>501.07166666666666</v>
      </c>
      <c r="E163" s="84">
        <f>C163*D163</f>
        <v>1002.1433333333333</v>
      </c>
    </row>
    <row r="164" spans="1:7" x14ac:dyDescent="0.2">
      <c r="D164" s="91" t="s">
        <v>32</v>
      </c>
      <c r="E164" s="92">
        <f>$B$54</f>
        <v>0.72719999999999996</v>
      </c>
      <c r="F164" s="93">
        <f>E163*E164</f>
        <v>728.75863199999992</v>
      </c>
    </row>
    <row r="165" spans="1:7" ht="11.25" customHeight="1" x14ac:dyDescent="0.2"/>
    <row r="166" spans="1:7" ht="13.5" customHeight="1" x14ac:dyDescent="0.2">
      <c r="A166" s="14" t="s">
        <v>85</v>
      </c>
    </row>
    <row r="167" spans="1:7" ht="11.25" customHeight="1" x14ac:dyDescent="0.2"/>
    <row r="168" spans="1:7" ht="24" x14ac:dyDescent="0.2">
      <c r="A168" s="74" t="s">
        <v>19</v>
      </c>
      <c r="B168" s="94" t="s">
        <v>20</v>
      </c>
      <c r="C168" s="115" t="s">
        <v>68</v>
      </c>
      <c r="D168" s="95" t="s">
        <v>21</v>
      </c>
      <c r="E168" s="95" t="s">
        <v>22</v>
      </c>
      <c r="F168" s="96" t="s">
        <v>23</v>
      </c>
    </row>
    <row r="169" spans="1:7" x14ac:dyDescent="0.2">
      <c r="A169" s="78" t="s">
        <v>69</v>
      </c>
      <c r="B169" s="79" t="s">
        <v>63</v>
      </c>
      <c r="C169" s="116">
        <v>4</v>
      </c>
      <c r="D169" s="81">
        <f>+D150</f>
        <v>310</v>
      </c>
      <c r="E169" s="81">
        <f t="shared" ref="E169:E174" si="2">IFERROR(D169/C169,0)</f>
        <v>77.5</v>
      </c>
    </row>
    <row r="170" spans="1:7" x14ac:dyDescent="0.2">
      <c r="A170" s="82" t="s">
        <v>70</v>
      </c>
      <c r="B170" s="83" t="s">
        <v>63</v>
      </c>
      <c r="C170" s="116">
        <v>4</v>
      </c>
      <c r="D170" s="84">
        <f>+D151</f>
        <v>91.67</v>
      </c>
      <c r="E170" s="81">
        <f t="shared" si="2"/>
        <v>22.9175</v>
      </c>
    </row>
    <row r="171" spans="1:7" x14ac:dyDescent="0.2">
      <c r="A171" s="82" t="s">
        <v>71</v>
      </c>
      <c r="B171" s="83" t="s">
        <v>63</v>
      </c>
      <c r="C171" s="116">
        <v>3</v>
      </c>
      <c r="D171" s="84">
        <f>+D152</f>
        <v>62.67</v>
      </c>
      <c r="E171" s="81">
        <f t="shared" si="2"/>
        <v>20.89</v>
      </c>
    </row>
    <row r="172" spans="1:7" x14ac:dyDescent="0.2">
      <c r="A172" s="82" t="s">
        <v>73</v>
      </c>
      <c r="B172" s="83" t="s">
        <v>74</v>
      </c>
      <c r="C172" s="116">
        <v>4</v>
      </c>
      <c r="D172" s="84">
        <f>+D154</f>
        <v>114.22</v>
      </c>
      <c r="E172" s="81">
        <f t="shared" si="2"/>
        <v>28.555</v>
      </c>
    </row>
    <row r="173" spans="1:7" x14ac:dyDescent="0.2">
      <c r="A173" s="82" t="s">
        <v>76</v>
      </c>
      <c r="B173" s="83" t="s">
        <v>63</v>
      </c>
      <c r="C173" s="116">
        <v>6</v>
      </c>
      <c r="D173" s="84">
        <f>+D156</f>
        <v>50.5</v>
      </c>
      <c r="E173" s="81">
        <f t="shared" si="2"/>
        <v>8.4166666666666661</v>
      </c>
      <c r="G173" s="14"/>
    </row>
    <row r="174" spans="1:7" x14ac:dyDescent="0.2">
      <c r="A174" s="82" t="s">
        <v>81</v>
      </c>
      <c r="B174" s="83" t="s">
        <v>82</v>
      </c>
      <c r="C174" s="116">
        <v>1</v>
      </c>
      <c r="D174" s="84">
        <f>+D161</f>
        <v>31.33</v>
      </c>
      <c r="E174" s="81">
        <f t="shared" si="2"/>
        <v>31.33</v>
      </c>
      <c r="G174" s="14"/>
    </row>
    <row r="175" spans="1:7" x14ac:dyDescent="0.2">
      <c r="A175" s="82" t="s">
        <v>83</v>
      </c>
      <c r="B175" s="83" t="s">
        <v>84</v>
      </c>
      <c r="C175" s="117">
        <v>1</v>
      </c>
      <c r="D175" s="80">
        <v>26.2</v>
      </c>
      <c r="E175" s="84">
        <f>C175*D175</f>
        <v>26.2</v>
      </c>
      <c r="G175" s="14"/>
    </row>
    <row r="176" spans="1:7" x14ac:dyDescent="0.2">
      <c r="A176" s="82" t="s">
        <v>30</v>
      </c>
      <c r="B176" s="83" t="s">
        <v>31</v>
      </c>
      <c r="C176" s="117">
        <f>E46+E47</f>
        <v>1</v>
      </c>
      <c r="D176" s="84">
        <f>+SUM(E169:E175)</f>
        <v>215.80916666666667</v>
      </c>
      <c r="E176" s="84">
        <f>C176*D176</f>
        <v>215.80916666666667</v>
      </c>
      <c r="G176" s="14"/>
    </row>
    <row r="177" spans="1:10" x14ac:dyDescent="0.2">
      <c r="D177" s="91" t="s">
        <v>32</v>
      </c>
      <c r="E177" s="92">
        <f>$B$54</f>
        <v>0.72719999999999996</v>
      </c>
      <c r="F177" s="93">
        <f>E176*E177</f>
        <v>156.93642599999998</v>
      </c>
      <c r="G177" s="14"/>
    </row>
    <row r="178" spans="1:10" ht="11.25" customHeight="1" x14ac:dyDescent="0.2">
      <c r="G178" s="14"/>
    </row>
    <row r="179" spans="1:10" x14ac:dyDescent="0.2">
      <c r="A179" s="112" t="s">
        <v>86</v>
      </c>
      <c r="B179" s="118"/>
      <c r="C179" s="118"/>
      <c r="D179" s="119"/>
      <c r="E179" s="120"/>
      <c r="F179" s="121">
        <f>+F164+F177</f>
        <v>885.6950579999999</v>
      </c>
      <c r="G179" s="14"/>
    </row>
    <row r="180" spans="1:10" ht="11.25" customHeight="1" x14ac:dyDescent="0.2">
      <c r="G180" s="14"/>
    </row>
    <row r="181" spans="1:10" x14ac:dyDescent="0.2">
      <c r="A181" s="36" t="s">
        <v>87</v>
      </c>
      <c r="G181" s="14"/>
    </row>
    <row r="182" spans="1:10" ht="11.25" customHeight="1" x14ac:dyDescent="0.2">
      <c r="B182" s="122"/>
      <c r="G182" s="14"/>
    </row>
    <row r="183" spans="1:10" x14ac:dyDescent="0.2">
      <c r="A183" s="14" t="s">
        <v>88</v>
      </c>
      <c r="G183" s="14"/>
    </row>
    <row r="184" spans="1:10" ht="11.25" customHeight="1" x14ac:dyDescent="0.2">
      <c r="G184" s="14"/>
    </row>
    <row r="185" spans="1:10" x14ac:dyDescent="0.2">
      <c r="A185" s="122" t="s">
        <v>89</v>
      </c>
      <c r="G185" s="14"/>
    </row>
    <row r="186" spans="1:10" x14ac:dyDescent="0.2">
      <c r="A186" s="74" t="s">
        <v>19</v>
      </c>
      <c r="B186" s="94" t="s">
        <v>20</v>
      </c>
      <c r="C186" s="94" t="s">
        <v>11</v>
      </c>
      <c r="D186" s="95" t="s">
        <v>21</v>
      </c>
      <c r="E186" s="95" t="s">
        <v>22</v>
      </c>
      <c r="F186" s="96" t="s">
        <v>23</v>
      </c>
      <c r="G186" s="14"/>
    </row>
    <row r="187" spans="1:10" x14ac:dyDescent="0.2">
      <c r="A187" s="78" t="s">
        <v>90</v>
      </c>
      <c r="B187" s="79" t="s">
        <v>63</v>
      </c>
      <c r="C187" s="79">
        <v>1</v>
      </c>
      <c r="D187" s="80">
        <v>538222</v>
      </c>
      <c r="E187" s="81">
        <f>C187*D187</f>
        <v>538222</v>
      </c>
      <c r="G187" s="14"/>
    </row>
    <row r="188" spans="1:10" x14ac:dyDescent="0.2">
      <c r="A188" s="82" t="s">
        <v>91</v>
      </c>
      <c r="B188" s="83" t="s">
        <v>92</v>
      </c>
      <c r="C188" s="90">
        <v>10</v>
      </c>
      <c r="D188" s="84"/>
      <c r="E188" s="84"/>
      <c r="G188" s="14"/>
    </row>
    <row r="189" spans="1:10" x14ac:dyDescent="0.2">
      <c r="A189" s="82" t="s">
        <v>93</v>
      </c>
      <c r="B189" s="83" t="s">
        <v>92</v>
      </c>
      <c r="C189" s="90">
        <v>0</v>
      </c>
      <c r="D189" s="84"/>
      <c r="E189" s="84"/>
      <c r="F189" s="123"/>
      <c r="I189" s="124"/>
      <c r="J189" s="124"/>
    </row>
    <row r="190" spans="1:10" x14ac:dyDescent="0.2">
      <c r="A190" s="82" t="s">
        <v>94</v>
      </c>
      <c r="B190" s="83" t="s">
        <v>7</v>
      </c>
      <c r="C190" s="89">
        <f>IFERROR(VLOOKUP(C188,'5. Depreciação'!A3:B17,2,FALSE()),0)</f>
        <v>65.180000000000007</v>
      </c>
      <c r="D190" s="84">
        <f>E187</f>
        <v>538222</v>
      </c>
      <c r="E190" s="84">
        <f>C190*D190/100</f>
        <v>350813.09960000002</v>
      </c>
    </row>
    <row r="191" spans="1:10" x14ac:dyDescent="0.2">
      <c r="A191" s="125" t="s">
        <v>95</v>
      </c>
      <c r="B191" s="126" t="s">
        <v>25</v>
      </c>
      <c r="C191" s="126">
        <f>C188*12</f>
        <v>120</v>
      </c>
      <c r="D191" s="127">
        <f>IF(C189&lt;=C188,E190,0)</f>
        <v>350813.09960000002</v>
      </c>
      <c r="E191" s="127">
        <f>IFERROR(D191/C191,0)</f>
        <v>2923.442496666667</v>
      </c>
    </row>
    <row r="192" spans="1:10" x14ac:dyDescent="0.2">
      <c r="A192" s="78" t="s">
        <v>96</v>
      </c>
      <c r="B192" s="79" t="s">
        <v>63</v>
      </c>
      <c r="C192" s="79">
        <f>C187</f>
        <v>1</v>
      </c>
      <c r="D192" s="80">
        <v>129106</v>
      </c>
      <c r="E192" s="81">
        <f>C192*D192</f>
        <v>129106</v>
      </c>
      <c r="G192" s="14"/>
    </row>
    <row r="193" spans="1:10" x14ac:dyDescent="0.2">
      <c r="A193" s="82" t="s">
        <v>97</v>
      </c>
      <c r="B193" s="83" t="s">
        <v>92</v>
      </c>
      <c r="C193" s="90">
        <v>10</v>
      </c>
      <c r="D193" s="84"/>
      <c r="E193" s="84"/>
    </row>
    <row r="194" spans="1:10" x14ac:dyDescent="0.2">
      <c r="A194" s="82" t="s">
        <v>98</v>
      </c>
      <c r="B194" s="83" t="s">
        <v>92</v>
      </c>
      <c r="C194" s="90">
        <v>0</v>
      </c>
      <c r="D194" s="84"/>
      <c r="E194" s="84"/>
      <c r="F194" s="123"/>
      <c r="I194" s="124"/>
      <c r="J194" s="124"/>
    </row>
    <row r="195" spans="1:10" x14ac:dyDescent="0.2">
      <c r="A195" s="82" t="s">
        <v>99</v>
      </c>
      <c r="B195" s="83" t="s">
        <v>7</v>
      </c>
      <c r="C195" s="128">
        <f>IFERROR(VLOOKUP(C193,'5. Depreciação'!A3:B17,2,FALSE()),0)</f>
        <v>65.180000000000007</v>
      </c>
      <c r="D195" s="84">
        <f>E192</f>
        <v>129106</v>
      </c>
      <c r="E195" s="84">
        <f>C195*D195/100</f>
        <v>84151.290800000002</v>
      </c>
    </row>
    <row r="196" spans="1:10" x14ac:dyDescent="0.2">
      <c r="A196" s="101" t="s">
        <v>100</v>
      </c>
      <c r="B196" s="129" t="s">
        <v>25</v>
      </c>
      <c r="C196" s="129">
        <f>C193*12</f>
        <v>120</v>
      </c>
      <c r="D196" s="102">
        <f>IF(C194&lt;=C193,E195,0)</f>
        <v>84151.290800000002</v>
      </c>
      <c r="E196" s="102">
        <f>IFERROR(D196/C196,0)</f>
        <v>701.26075666666668</v>
      </c>
    </row>
    <row r="197" spans="1:10" x14ac:dyDescent="0.2">
      <c r="A197" s="85" t="s">
        <v>101</v>
      </c>
      <c r="B197" s="86"/>
      <c r="C197" s="86"/>
      <c r="D197" s="87"/>
      <c r="E197" s="88">
        <f>E191+E196</f>
        <v>3624.7032533333336</v>
      </c>
    </row>
    <row r="198" spans="1:10" x14ac:dyDescent="0.2">
      <c r="A198" s="101" t="s">
        <v>102</v>
      </c>
      <c r="B198" s="129" t="s">
        <v>63</v>
      </c>
      <c r="C198" s="90">
        <v>1</v>
      </c>
      <c r="D198" s="102">
        <f>E197</f>
        <v>3624.7032533333336</v>
      </c>
      <c r="E198" s="88">
        <f>C198*D198</f>
        <v>3624.7032533333336</v>
      </c>
    </row>
    <row r="199" spans="1:10" x14ac:dyDescent="0.2">
      <c r="A199" s="130"/>
      <c r="B199" s="130"/>
      <c r="C199" s="130"/>
      <c r="D199" s="91" t="s">
        <v>32</v>
      </c>
      <c r="E199" s="92">
        <f>$B$54</f>
        <v>0.72719999999999996</v>
      </c>
      <c r="F199" s="121">
        <f>E198*E199</f>
        <v>2635.8842058240002</v>
      </c>
    </row>
    <row r="200" spans="1:10" ht="11.25" customHeight="1" x14ac:dyDescent="0.2"/>
    <row r="201" spans="1:10" x14ac:dyDescent="0.2">
      <c r="A201" s="122" t="s">
        <v>103</v>
      </c>
    </row>
    <row r="202" spans="1:10" x14ac:dyDescent="0.2">
      <c r="A202" s="74" t="s">
        <v>19</v>
      </c>
      <c r="B202" s="94" t="s">
        <v>20</v>
      </c>
      <c r="C202" s="94" t="s">
        <v>11</v>
      </c>
      <c r="D202" s="95" t="s">
        <v>21</v>
      </c>
      <c r="E202" s="95" t="s">
        <v>22</v>
      </c>
      <c r="F202" s="96" t="s">
        <v>23</v>
      </c>
      <c r="I202" s="124"/>
      <c r="J202" s="124"/>
    </row>
    <row r="203" spans="1:10" x14ac:dyDescent="0.2">
      <c r="A203" s="78" t="s">
        <v>104</v>
      </c>
      <c r="B203" s="79" t="s">
        <v>63</v>
      </c>
      <c r="C203" s="79">
        <v>1</v>
      </c>
      <c r="D203" s="81">
        <f>D187</f>
        <v>538222</v>
      </c>
      <c r="E203" s="81">
        <f>C203*D203</f>
        <v>538222</v>
      </c>
      <c r="F203" s="123"/>
      <c r="I203" s="124"/>
      <c r="J203" s="124"/>
    </row>
    <row r="204" spans="1:10" x14ac:dyDescent="0.2">
      <c r="A204" s="82" t="s">
        <v>105</v>
      </c>
      <c r="B204" s="83" t="s">
        <v>7</v>
      </c>
      <c r="C204" s="90">
        <v>13.75</v>
      </c>
      <c r="D204" s="84"/>
      <c r="E204" s="84"/>
      <c r="F204" s="123"/>
      <c r="I204" s="124"/>
      <c r="J204" s="124"/>
    </row>
    <row r="205" spans="1:10" x14ac:dyDescent="0.2">
      <c r="A205" s="82" t="s">
        <v>106</v>
      </c>
      <c r="B205" s="83" t="s">
        <v>47</v>
      </c>
      <c r="C205" s="131">
        <f>IFERROR(IF(C189&lt;=C188,E187-(C190/(100*C188)*C189)*E187,E187-E190),0)</f>
        <v>538222</v>
      </c>
      <c r="D205" s="84"/>
      <c r="E205" s="84"/>
      <c r="F205" s="123"/>
      <c r="I205" s="124"/>
      <c r="J205" s="124"/>
    </row>
    <row r="206" spans="1:10" x14ac:dyDescent="0.2">
      <c r="A206" s="82" t="s">
        <v>107</v>
      </c>
      <c r="B206" s="83" t="s">
        <v>47</v>
      </c>
      <c r="C206" s="84">
        <f>IFERROR(IF(C189&gt;=C188,C205,((((C205)-(E187-E190))*(((C188-C189)+1)/(2*(C188-C189))))+(E187-E190))),0)</f>
        <v>380356.10518000001</v>
      </c>
      <c r="D206" s="84"/>
      <c r="E206" s="84"/>
      <c r="F206" s="123"/>
      <c r="I206" s="124"/>
      <c r="J206" s="124"/>
    </row>
    <row r="207" spans="1:10" x14ac:dyDescent="0.2">
      <c r="A207" s="125" t="s">
        <v>108</v>
      </c>
      <c r="B207" s="126" t="s">
        <v>47</v>
      </c>
      <c r="C207" s="126"/>
      <c r="D207" s="127">
        <f>C204*C206/12/100</f>
        <v>4358.2470385208335</v>
      </c>
      <c r="E207" s="127">
        <f>D207</f>
        <v>4358.2470385208335</v>
      </c>
      <c r="F207" s="123"/>
      <c r="I207" s="124"/>
      <c r="J207" s="124"/>
    </row>
    <row r="208" spans="1:10" x14ac:dyDescent="0.2">
      <c r="A208" s="78" t="s">
        <v>109</v>
      </c>
      <c r="B208" s="79" t="s">
        <v>63</v>
      </c>
      <c r="C208" s="79">
        <f>C192</f>
        <v>1</v>
      </c>
      <c r="D208" s="81">
        <f>D192</f>
        <v>129106</v>
      </c>
      <c r="E208" s="81">
        <f>C208*D208</f>
        <v>129106</v>
      </c>
      <c r="F208" s="123"/>
      <c r="I208" s="124"/>
      <c r="J208" s="124"/>
    </row>
    <row r="209" spans="1:10" x14ac:dyDescent="0.2">
      <c r="A209" s="82" t="s">
        <v>105</v>
      </c>
      <c r="B209" s="83" t="s">
        <v>7</v>
      </c>
      <c r="C209" s="83">
        <f>C204</f>
        <v>13.75</v>
      </c>
      <c r="D209" s="84"/>
      <c r="E209" s="84"/>
      <c r="F209" s="123"/>
      <c r="I209" s="124"/>
      <c r="J209" s="124"/>
    </row>
    <row r="210" spans="1:10" x14ac:dyDescent="0.2">
      <c r="A210" s="82" t="s">
        <v>110</v>
      </c>
      <c r="B210" s="83" t="s">
        <v>47</v>
      </c>
      <c r="C210" s="131">
        <f>IFERROR(IF(C194&lt;=C193,E192-(C195/(100*C193)*C194)*E192,E192-E195),0)</f>
        <v>129106</v>
      </c>
      <c r="D210" s="84"/>
      <c r="E210" s="84"/>
      <c r="F210" s="123"/>
      <c r="I210" s="124"/>
      <c r="J210" s="124"/>
    </row>
    <row r="211" spans="1:10" x14ac:dyDescent="0.2">
      <c r="A211" s="82" t="s">
        <v>111</v>
      </c>
      <c r="B211" s="83" t="s">
        <v>47</v>
      </c>
      <c r="C211" s="84">
        <f>IFERROR(IF(C194&gt;=C193,C210,((((C210)-(E192-E195))*(((C193-C194)+1)/(2*(C193-C194))))+(E192-E195))),0)</f>
        <v>91237.919140000013</v>
      </c>
      <c r="D211" s="84"/>
      <c r="E211" s="84"/>
      <c r="F211" s="123"/>
      <c r="I211" s="124"/>
      <c r="J211" s="124"/>
    </row>
    <row r="212" spans="1:10" x14ac:dyDescent="0.2">
      <c r="A212" s="101" t="s">
        <v>112</v>
      </c>
      <c r="B212" s="129" t="s">
        <v>47</v>
      </c>
      <c r="C212" s="129"/>
      <c r="D212" s="102">
        <f>C209*C211/12/100</f>
        <v>1045.4344901458335</v>
      </c>
      <c r="E212" s="102">
        <f>D212</f>
        <v>1045.4344901458335</v>
      </c>
      <c r="F212" s="123"/>
      <c r="I212" s="124"/>
      <c r="J212" s="124"/>
    </row>
    <row r="213" spans="1:10" x14ac:dyDescent="0.2">
      <c r="A213" s="85" t="s">
        <v>101</v>
      </c>
      <c r="B213" s="86"/>
      <c r="C213" s="86"/>
      <c r="D213" s="87"/>
      <c r="E213" s="88">
        <f>E207+E212</f>
        <v>5403.681528666667</v>
      </c>
      <c r="F213" s="123"/>
      <c r="I213" s="124"/>
      <c r="J213" s="124"/>
    </row>
    <row r="214" spans="1:10" x14ac:dyDescent="0.2">
      <c r="A214" s="101" t="s">
        <v>102</v>
      </c>
      <c r="B214" s="129" t="s">
        <v>63</v>
      </c>
      <c r="C214" s="83">
        <f>C198</f>
        <v>1</v>
      </c>
      <c r="D214" s="102">
        <f>E213</f>
        <v>5403.681528666667</v>
      </c>
      <c r="E214" s="88">
        <f>C214*D214</f>
        <v>5403.681528666667</v>
      </c>
      <c r="F214" s="123"/>
      <c r="I214" s="124"/>
      <c r="J214" s="124"/>
    </row>
    <row r="215" spans="1:10" x14ac:dyDescent="0.2">
      <c r="C215" s="132"/>
      <c r="D215" s="91" t="s">
        <v>32</v>
      </c>
      <c r="E215" s="92">
        <f>$B$54</f>
        <v>0.72719999999999996</v>
      </c>
      <c r="F215" s="121">
        <f>E214*E215</f>
        <v>3929.5572076464</v>
      </c>
      <c r="I215" s="124"/>
      <c r="J215" s="124"/>
    </row>
    <row r="216" spans="1:10" ht="11.25" customHeight="1" x14ac:dyDescent="0.2">
      <c r="I216" s="124"/>
      <c r="J216" s="124"/>
    </row>
    <row r="217" spans="1:10" x14ac:dyDescent="0.2">
      <c r="A217" s="14" t="s">
        <v>113</v>
      </c>
      <c r="I217" s="124"/>
      <c r="J217" s="124"/>
    </row>
    <row r="218" spans="1:10" x14ac:dyDescent="0.2">
      <c r="A218" s="74" t="s">
        <v>19</v>
      </c>
      <c r="B218" s="94" t="s">
        <v>20</v>
      </c>
      <c r="C218" s="94" t="s">
        <v>11</v>
      </c>
      <c r="D218" s="95" t="s">
        <v>21</v>
      </c>
      <c r="E218" s="95" t="s">
        <v>22</v>
      </c>
      <c r="F218" s="96" t="s">
        <v>23</v>
      </c>
      <c r="I218" s="124"/>
      <c r="J218" s="124"/>
    </row>
    <row r="219" spans="1:10" x14ac:dyDescent="0.2">
      <c r="A219" s="78" t="s">
        <v>114</v>
      </c>
      <c r="B219" s="79" t="s">
        <v>63</v>
      </c>
      <c r="C219" s="81">
        <f>C198</f>
        <v>1</v>
      </c>
      <c r="D219" s="81">
        <f>0.01*($E$187)</f>
        <v>5382.22</v>
      </c>
      <c r="E219" s="81">
        <f>C219*D219</f>
        <v>5382.22</v>
      </c>
      <c r="I219" s="124"/>
      <c r="J219" s="124"/>
    </row>
    <row r="220" spans="1:10" x14ac:dyDescent="0.2">
      <c r="A220" s="82" t="s">
        <v>115</v>
      </c>
      <c r="B220" s="83" t="s">
        <v>63</v>
      </c>
      <c r="C220" s="81">
        <f>C198</f>
        <v>1</v>
      </c>
      <c r="D220" s="111">
        <v>94.1</v>
      </c>
      <c r="E220" s="84">
        <f>C220*D220</f>
        <v>94.1</v>
      </c>
      <c r="I220" s="124"/>
      <c r="J220" s="124"/>
    </row>
    <row r="221" spans="1:10" x14ac:dyDescent="0.2">
      <c r="A221" s="82" t="s">
        <v>116</v>
      </c>
      <c r="B221" s="83" t="s">
        <v>63</v>
      </c>
      <c r="C221" s="81">
        <f>C198</f>
        <v>1</v>
      </c>
      <c r="D221" s="111">
        <v>522.66</v>
      </c>
      <c r="E221" s="84">
        <f>C221*D221</f>
        <v>522.66</v>
      </c>
      <c r="F221" s="87"/>
      <c r="I221" s="124"/>
      <c r="J221" s="124"/>
    </row>
    <row r="222" spans="1:10" x14ac:dyDescent="0.2">
      <c r="A222" s="101" t="s">
        <v>117</v>
      </c>
      <c r="B222" s="129" t="s">
        <v>25</v>
      </c>
      <c r="C222" s="129">
        <v>12</v>
      </c>
      <c r="D222" s="102">
        <f>SUM(E219:E221)</f>
        <v>5998.9800000000005</v>
      </c>
      <c r="E222" s="102">
        <f>D222/C222</f>
        <v>499.91500000000002</v>
      </c>
      <c r="I222" s="124"/>
      <c r="J222" s="124"/>
    </row>
    <row r="223" spans="1:10" x14ac:dyDescent="0.2">
      <c r="D223" s="91" t="s">
        <v>32</v>
      </c>
      <c r="E223" s="92">
        <f>$B$54</f>
        <v>0.72719999999999996</v>
      </c>
      <c r="F223" s="93">
        <f>E222*E223</f>
        <v>363.53818799999999</v>
      </c>
      <c r="I223" s="124"/>
      <c r="J223" s="124"/>
    </row>
    <row r="224" spans="1:10" ht="11.25" customHeight="1" x14ac:dyDescent="0.2">
      <c r="I224" s="124"/>
      <c r="J224" s="124"/>
    </row>
    <row r="225" spans="1:10" x14ac:dyDescent="0.2">
      <c r="A225" s="14" t="s">
        <v>118</v>
      </c>
      <c r="B225" s="133"/>
      <c r="I225" s="124"/>
      <c r="J225" s="124"/>
    </row>
    <row r="226" spans="1:10" x14ac:dyDescent="0.2">
      <c r="B226" s="133"/>
      <c r="I226" s="124"/>
      <c r="J226" s="124"/>
    </row>
    <row r="227" spans="1:10" ht="25.5" x14ac:dyDescent="0.2">
      <c r="A227" s="134" t="s">
        <v>119</v>
      </c>
      <c r="B227" s="135">
        <v>3144</v>
      </c>
      <c r="D227" s="136"/>
      <c r="E227" s="137"/>
      <c r="F227" s="137"/>
      <c r="I227" s="124"/>
      <c r="J227" s="124"/>
    </row>
    <row r="228" spans="1:10" x14ac:dyDescent="0.2">
      <c r="B228" s="133"/>
      <c r="I228" s="124"/>
      <c r="J228" s="124"/>
    </row>
    <row r="229" spans="1:10" x14ac:dyDescent="0.2">
      <c r="A229" s="74" t="s">
        <v>19</v>
      </c>
      <c r="B229" s="94" t="s">
        <v>20</v>
      </c>
      <c r="C229" s="94" t="s">
        <v>120</v>
      </c>
      <c r="D229" s="95" t="s">
        <v>21</v>
      </c>
      <c r="E229" s="95" t="s">
        <v>22</v>
      </c>
      <c r="F229" s="96" t="s">
        <v>23</v>
      </c>
      <c r="I229" s="124"/>
      <c r="J229" s="124"/>
    </row>
    <row r="230" spans="1:10" x14ac:dyDescent="0.2">
      <c r="A230" s="78" t="s">
        <v>121</v>
      </c>
      <c r="B230" s="79" t="s">
        <v>122</v>
      </c>
      <c r="C230" s="138">
        <v>3</v>
      </c>
      <c r="D230" s="139">
        <v>5.58</v>
      </c>
      <c r="E230" s="81"/>
      <c r="I230" s="124"/>
      <c r="J230" s="124"/>
    </row>
    <row r="231" spans="1:10" ht="25.5" x14ac:dyDescent="0.2">
      <c r="A231" s="140" t="s">
        <v>123</v>
      </c>
      <c r="B231" s="83" t="s">
        <v>124</v>
      </c>
      <c r="C231" s="106">
        <f>B227</f>
        <v>3144</v>
      </c>
      <c r="D231" s="141">
        <f>IFERROR(+D230/C230,"-")</f>
        <v>1.86</v>
      </c>
      <c r="E231" s="84">
        <f>IFERROR(C231*D231,"-")</f>
        <v>5847.84</v>
      </c>
      <c r="I231" s="124"/>
      <c r="J231" s="124"/>
    </row>
    <row r="232" spans="1:10" x14ac:dyDescent="0.2">
      <c r="A232" s="82" t="s">
        <v>125</v>
      </c>
      <c r="B232" s="83" t="s">
        <v>126</v>
      </c>
      <c r="C232" s="142">
        <v>1.5</v>
      </c>
      <c r="D232" s="111">
        <f>550/20</f>
        <v>27.5</v>
      </c>
      <c r="E232" s="84"/>
      <c r="I232" s="124"/>
      <c r="J232" s="124"/>
    </row>
    <row r="233" spans="1:10" x14ac:dyDescent="0.2">
      <c r="A233" s="82" t="s">
        <v>127</v>
      </c>
      <c r="B233" s="83" t="s">
        <v>124</v>
      </c>
      <c r="C233" s="106">
        <f>C231</f>
        <v>3144</v>
      </c>
      <c r="D233" s="143">
        <f>+C232*D232/1000</f>
        <v>4.1250000000000002E-2</v>
      </c>
      <c r="E233" s="84">
        <f>C233*D233</f>
        <v>129.69</v>
      </c>
      <c r="I233" s="124"/>
      <c r="J233" s="124"/>
    </row>
    <row r="234" spans="1:10" x14ac:dyDescent="0.2">
      <c r="A234" s="82" t="s">
        <v>128</v>
      </c>
      <c r="B234" s="83" t="s">
        <v>126</v>
      </c>
      <c r="C234" s="142">
        <v>0.5</v>
      </c>
      <c r="D234" s="111">
        <f>600/20</f>
        <v>30</v>
      </c>
      <c r="E234" s="84"/>
      <c r="I234" s="124"/>
      <c r="J234" s="124"/>
    </row>
    <row r="235" spans="1:10" x14ac:dyDescent="0.2">
      <c r="A235" s="82" t="s">
        <v>129</v>
      </c>
      <c r="B235" s="83" t="s">
        <v>124</v>
      </c>
      <c r="C235" s="106">
        <f>C231</f>
        <v>3144</v>
      </c>
      <c r="D235" s="143">
        <f>+C234*D234/1000</f>
        <v>1.4999999999999999E-2</v>
      </c>
      <c r="E235" s="84">
        <f>C235*D235</f>
        <v>47.16</v>
      </c>
      <c r="I235" s="124"/>
      <c r="J235" s="124"/>
    </row>
    <row r="236" spans="1:10" x14ac:dyDescent="0.2">
      <c r="A236" s="82" t="s">
        <v>130</v>
      </c>
      <c r="B236" s="83" t="s">
        <v>126</v>
      </c>
      <c r="C236" s="142">
        <v>2</v>
      </c>
      <c r="D236" s="111">
        <f>294/20</f>
        <v>14.7</v>
      </c>
      <c r="E236" s="84"/>
      <c r="I236" s="124"/>
      <c r="J236" s="124"/>
    </row>
    <row r="237" spans="1:10" x14ac:dyDescent="0.2">
      <c r="A237" s="82" t="s">
        <v>131</v>
      </c>
      <c r="B237" s="83" t="s">
        <v>124</v>
      </c>
      <c r="C237" s="106">
        <f>C231</f>
        <v>3144</v>
      </c>
      <c r="D237" s="143">
        <f>+C236*D236/1000</f>
        <v>2.9399999999999999E-2</v>
      </c>
      <c r="E237" s="84">
        <f>C237*D237</f>
        <v>92.433599999999998</v>
      </c>
      <c r="I237" s="124"/>
      <c r="J237" s="124"/>
    </row>
    <row r="238" spans="1:10" x14ac:dyDescent="0.2">
      <c r="A238" s="82" t="s">
        <v>132</v>
      </c>
      <c r="B238" s="83" t="s">
        <v>133</v>
      </c>
      <c r="C238" s="142">
        <v>1</v>
      </c>
      <c r="D238" s="111">
        <f>4990/170</f>
        <v>29.352941176470587</v>
      </c>
      <c r="E238" s="84"/>
      <c r="I238" s="124"/>
      <c r="J238" s="124"/>
    </row>
    <row r="239" spans="1:10" x14ac:dyDescent="0.2">
      <c r="A239" s="82" t="s">
        <v>134</v>
      </c>
      <c r="B239" s="83" t="s">
        <v>124</v>
      </c>
      <c r="C239" s="106">
        <f>C231</f>
        <v>3144</v>
      </c>
      <c r="D239" s="143">
        <f>+C238*D238/1000</f>
        <v>2.9352941176470589E-2</v>
      </c>
      <c r="E239" s="84">
        <f>C239*D239</f>
        <v>92.285647058823528</v>
      </c>
      <c r="I239" s="124"/>
      <c r="J239" s="124"/>
    </row>
    <row r="240" spans="1:10" x14ac:dyDescent="0.2">
      <c r="A240" s="101" t="s">
        <v>135</v>
      </c>
      <c r="B240" s="129" t="s">
        <v>136</v>
      </c>
      <c r="C240" s="144"/>
      <c r="D240" s="145">
        <f>IFERROR(D231+D233+D235+D237+D239,0)</f>
        <v>1.9750029411764707</v>
      </c>
      <c r="E240" s="84"/>
      <c r="I240" s="124"/>
      <c r="J240" s="124"/>
    </row>
    <row r="241" spans="1:10" x14ac:dyDescent="0.2">
      <c r="F241" s="121">
        <f>SUM(E230:E239)</f>
        <v>6209.409247058823</v>
      </c>
      <c r="I241" s="124"/>
      <c r="J241" s="124"/>
    </row>
    <row r="242" spans="1:10" ht="11.25" customHeight="1" x14ac:dyDescent="0.2">
      <c r="I242" s="124"/>
      <c r="J242" s="124"/>
    </row>
    <row r="243" spans="1:10" x14ac:dyDescent="0.2">
      <c r="A243" s="14" t="s">
        <v>137</v>
      </c>
      <c r="I243" s="124"/>
      <c r="J243" s="124"/>
    </row>
    <row r="244" spans="1:10" x14ac:dyDescent="0.2">
      <c r="A244" s="74" t="s">
        <v>19</v>
      </c>
      <c r="B244" s="94" t="s">
        <v>20</v>
      </c>
      <c r="C244" s="94" t="s">
        <v>11</v>
      </c>
      <c r="D244" s="95" t="s">
        <v>21</v>
      </c>
      <c r="E244" s="95" t="s">
        <v>22</v>
      </c>
      <c r="F244" s="96" t="s">
        <v>23</v>
      </c>
      <c r="I244" s="124"/>
      <c r="J244" s="124"/>
    </row>
    <row r="245" spans="1:10" x14ac:dyDescent="0.2">
      <c r="A245" s="78" t="s">
        <v>138</v>
      </c>
      <c r="B245" s="79" t="s">
        <v>136</v>
      </c>
      <c r="C245" s="106">
        <f>C231</f>
        <v>3144</v>
      </c>
      <c r="D245" s="80">
        <v>0.94</v>
      </c>
      <c r="E245" s="81">
        <f>C245*D245</f>
        <v>2955.3599999999997</v>
      </c>
      <c r="I245" s="124"/>
      <c r="J245" s="124"/>
    </row>
    <row r="246" spans="1:10" x14ac:dyDescent="0.2">
      <c r="F246" s="121">
        <f>E245</f>
        <v>2955.3599999999997</v>
      </c>
      <c r="I246" s="124"/>
      <c r="J246" s="124"/>
    </row>
    <row r="247" spans="1:10" ht="11.25" customHeight="1" x14ac:dyDescent="0.2">
      <c r="I247" s="124"/>
      <c r="J247" s="124"/>
    </row>
    <row r="248" spans="1:10" x14ac:dyDescent="0.2">
      <c r="A248" s="14" t="s">
        <v>139</v>
      </c>
      <c r="I248" s="124"/>
      <c r="J248" s="124"/>
    </row>
    <row r="249" spans="1:10" x14ac:dyDescent="0.2">
      <c r="A249" s="74" t="s">
        <v>19</v>
      </c>
      <c r="B249" s="94" t="s">
        <v>20</v>
      </c>
      <c r="C249" s="94" t="s">
        <v>11</v>
      </c>
      <c r="D249" s="95" t="s">
        <v>21</v>
      </c>
      <c r="E249" s="95" t="s">
        <v>22</v>
      </c>
      <c r="F249" s="96" t="s">
        <v>23</v>
      </c>
      <c r="I249" s="124"/>
      <c r="J249" s="124"/>
    </row>
    <row r="250" spans="1:10" x14ac:dyDescent="0.2">
      <c r="A250" s="78" t="s">
        <v>140</v>
      </c>
      <c r="B250" s="79" t="s">
        <v>63</v>
      </c>
      <c r="C250" s="146">
        <v>6</v>
      </c>
      <c r="D250" s="80">
        <v>2200</v>
      </c>
      <c r="E250" s="81">
        <f>C250*D250</f>
        <v>13200</v>
      </c>
      <c r="I250" s="124"/>
      <c r="J250" s="124"/>
    </row>
    <row r="251" spans="1:10" x14ac:dyDescent="0.2">
      <c r="A251" s="78" t="s">
        <v>141</v>
      </c>
      <c r="B251" s="79" t="s">
        <v>63</v>
      </c>
      <c r="C251" s="146">
        <v>3</v>
      </c>
      <c r="D251" s="81"/>
      <c r="E251" s="81"/>
      <c r="I251" s="124"/>
      <c r="J251" s="124"/>
    </row>
    <row r="252" spans="1:10" x14ac:dyDescent="0.2">
      <c r="A252" s="78" t="s">
        <v>142</v>
      </c>
      <c r="B252" s="79" t="s">
        <v>63</v>
      </c>
      <c r="C252" s="81">
        <f>C250*C251</f>
        <v>18</v>
      </c>
      <c r="D252" s="80">
        <v>457</v>
      </c>
      <c r="E252" s="81">
        <f>C252*D252</f>
        <v>8226</v>
      </c>
      <c r="I252" s="124"/>
      <c r="J252" s="124"/>
    </row>
    <row r="253" spans="1:10" x14ac:dyDescent="0.2">
      <c r="A253" s="82" t="s">
        <v>143</v>
      </c>
      <c r="B253" s="83" t="s">
        <v>144</v>
      </c>
      <c r="C253" s="147">
        <v>90000</v>
      </c>
      <c r="D253" s="84">
        <f>E250+E252</f>
        <v>21426</v>
      </c>
      <c r="E253" s="84">
        <f>IFERROR(D253/C253,"-")</f>
        <v>0.23806666666666668</v>
      </c>
      <c r="I253" s="124"/>
      <c r="J253" s="124"/>
    </row>
    <row r="254" spans="1:10" x14ac:dyDescent="0.2">
      <c r="A254" s="82" t="s">
        <v>145</v>
      </c>
      <c r="B254" s="83" t="s">
        <v>124</v>
      </c>
      <c r="C254" s="106">
        <f>B227</f>
        <v>3144</v>
      </c>
      <c r="D254" s="84">
        <f>E253</f>
        <v>0.23806666666666668</v>
      </c>
      <c r="E254" s="84">
        <f>IFERROR(C254*D254,0)</f>
        <v>748.48160000000007</v>
      </c>
      <c r="I254" s="124"/>
      <c r="J254" s="124"/>
    </row>
    <row r="255" spans="1:10" x14ac:dyDescent="0.2">
      <c r="F255" s="121">
        <f>E254</f>
        <v>748.48160000000007</v>
      </c>
      <c r="I255" s="124"/>
      <c r="J255" s="124"/>
    </row>
    <row r="256" spans="1:10" x14ac:dyDescent="0.2">
      <c r="A256" s="36" t="s">
        <v>146</v>
      </c>
      <c r="B256" s="148"/>
      <c r="C256" s="149"/>
      <c r="D256" s="150"/>
      <c r="E256" s="150"/>
      <c r="F256" s="151"/>
      <c r="G256" s="14"/>
    </row>
    <row r="257" spans="1:7" x14ac:dyDescent="0.2">
      <c r="A257" s="152" t="s">
        <v>147</v>
      </c>
      <c r="G257" s="14"/>
    </row>
    <row r="258" spans="1:7" x14ac:dyDescent="0.2">
      <c r="A258" s="74" t="s">
        <v>19</v>
      </c>
      <c r="B258" s="94" t="s">
        <v>20</v>
      </c>
      <c r="C258" s="94" t="s">
        <v>11</v>
      </c>
      <c r="D258" s="95" t="s">
        <v>21</v>
      </c>
      <c r="E258" s="95" t="s">
        <v>22</v>
      </c>
      <c r="F258" s="96" t="s">
        <v>23</v>
      </c>
    </row>
    <row r="259" spans="1:7" x14ac:dyDescent="0.2">
      <c r="A259" s="78" t="s">
        <v>148</v>
      </c>
      <c r="B259" s="79" t="s">
        <v>63</v>
      </c>
      <c r="C259" s="79">
        <v>1</v>
      </c>
      <c r="D259" s="80">
        <v>2502.44</v>
      </c>
      <c r="E259" s="81">
        <f>C259*D259</f>
        <v>2502.44</v>
      </c>
    </row>
    <row r="260" spans="1:7" x14ac:dyDescent="0.2">
      <c r="A260" s="82" t="s">
        <v>149</v>
      </c>
      <c r="B260" s="83" t="s">
        <v>92</v>
      </c>
      <c r="C260" s="90">
        <v>3</v>
      </c>
      <c r="D260" s="84"/>
      <c r="E260" s="84"/>
    </row>
    <row r="261" spans="1:7" x14ac:dyDescent="0.2">
      <c r="A261" s="82" t="s">
        <v>150</v>
      </c>
      <c r="B261" s="83" t="s">
        <v>92</v>
      </c>
      <c r="C261" s="90">
        <v>0</v>
      </c>
      <c r="D261" s="84"/>
      <c r="E261" s="84"/>
      <c r="F261" s="123"/>
    </row>
    <row r="262" spans="1:7" x14ac:dyDescent="0.2">
      <c r="A262" s="82" t="s">
        <v>151</v>
      </c>
      <c r="B262" s="83" t="s">
        <v>7</v>
      </c>
      <c r="C262" s="89">
        <f>IFERROR(VLOOKUP(C260,'5. Depreciação'!A3:B17,2,FALSE()),0)</f>
        <v>48.68</v>
      </c>
      <c r="D262" s="84">
        <f>E259</f>
        <v>2502.44</v>
      </c>
      <c r="E262" s="84">
        <f>C262*D262/100</f>
        <v>1218.1877919999999</v>
      </c>
    </row>
    <row r="263" spans="1:7" s="154" customFormat="1" ht="15" customHeight="1" x14ac:dyDescent="0.2">
      <c r="A263" s="125" t="s">
        <v>152</v>
      </c>
      <c r="B263" s="126" t="s">
        <v>25</v>
      </c>
      <c r="C263" s="126">
        <f>C260*12</f>
        <v>36</v>
      </c>
      <c r="D263" s="127">
        <f>IF(C261&lt;=C260,E262,0)</f>
        <v>1218.1877919999999</v>
      </c>
      <c r="E263" s="127">
        <f>IFERROR(D263/C263,0)</f>
        <v>33.838549777777779</v>
      </c>
      <c r="F263" s="15"/>
      <c r="G263" s="153"/>
    </row>
    <row r="264" spans="1:7" x14ac:dyDescent="0.2">
      <c r="A264" s="85" t="s">
        <v>153</v>
      </c>
      <c r="B264" s="86"/>
      <c r="C264" s="86"/>
      <c r="D264" s="87"/>
      <c r="E264" s="88">
        <f>E263</f>
        <v>33.838549777777779</v>
      </c>
    </row>
    <row r="265" spans="1:7" x14ac:dyDescent="0.2">
      <c r="A265" s="101" t="s">
        <v>154</v>
      </c>
      <c r="B265" s="129" t="s">
        <v>63</v>
      </c>
      <c r="C265" s="90">
        <v>182</v>
      </c>
      <c r="D265" s="102">
        <f>E264</f>
        <v>33.838549777777779</v>
      </c>
      <c r="E265" s="88">
        <f>C265*D265</f>
        <v>6158.6160595555557</v>
      </c>
    </row>
    <row r="266" spans="1:7" ht="14.25" customHeight="1" x14ac:dyDescent="0.2">
      <c r="A266" s="130"/>
      <c r="B266" s="130"/>
      <c r="C266" s="130"/>
      <c r="D266" s="91" t="s">
        <v>32</v>
      </c>
      <c r="E266" s="92">
        <v>1</v>
      </c>
      <c r="F266" s="121">
        <f>E265*E266</f>
        <v>6158.6160595555557</v>
      </c>
    </row>
    <row r="267" spans="1:7" ht="9" customHeight="1" x14ac:dyDescent="0.2"/>
    <row r="268" spans="1:7" ht="17.25" customHeight="1" x14ac:dyDescent="0.2">
      <c r="A268" s="152" t="s">
        <v>155</v>
      </c>
    </row>
    <row r="269" spans="1:7" ht="17.25" customHeight="1" x14ac:dyDescent="0.2">
      <c r="A269" s="74" t="s">
        <v>19</v>
      </c>
      <c r="B269" s="94" t="s">
        <v>20</v>
      </c>
      <c r="C269" s="94" t="s">
        <v>11</v>
      </c>
      <c r="D269" s="95" t="s">
        <v>21</v>
      </c>
      <c r="E269" s="95" t="s">
        <v>22</v>
      </c>
      <c r="F269" s="96" t="s">
        <v>23</v>
      </c>
    </row>
    <row r="270" spans="1:7" ht="11.25" customHeight="1" x14ac:dyDescent="0.2">
      <c r="A270" s="78" t="s">
        <v>156</v>
      </c>
      <c r="B270" s="79" t="s">
        <v>63</v>
      </c>
      <c r="C270" s="79">
        <v>1</v>
      </c>
      <c r="D270" s="81">
        <f>D259</f>
        <v>2502.44</v>
      </c>
      <c r="E270" s="81">
        <f>C270*D270</f>
        <v>2502.44</v>
      </c>
      <c r="F270" s="123"/>
    </row>
    <row r="271" spans="1:7" x14ac:dyDescent="0.2">
      <c r="A271" s="82" t="s">
        <v>105</v>
      </c>
      <c r="B271" s="83" t="s">
        <v>7</v>
      </c>
      <c r="C271" s="90">
        <v>13.75</v>
      </c>
      <c r="D271" s="84"/>
      <c r="E271" s="84"/>
      <c r="F271" s="123"/>
    </row>
    <row r="272" spans="1:7" ht="11.25" customHeight="1" x14ac:dyDescent="0.2">
      <c r="A272" s="82" t="s">
        <v>157</v>
      </c>
      <c r="B272" s="83" t="s">
        <v>47</v>
      </c>
      <c r="C272" s="131">
        <f>IFERROR(IF(C261&lt;=C260,E259-(C262/(100*C260)*C261)*E259,E259-E262),0)</f>
        <v>2502.44</v>
      </c>
      <c r="D272" s="84"/>
      <c r="E272" s="84"/>
      <c r="F272" s="123"/>
    </row>
    <row r="273" spans="1:6" x14ac:dyDescent="0.2">
      <c r="A273" s="82" t="s">
        <v>158</v>
      </c>
      <c r="B273" s="83" t="s">
        <v>47</v>
      </c>
      <c r="C273" s="84">
        <f>IFERROR(IF(C261&gt;=C260,C272,((((C272)-(E259-E262))*(((C260-C261)+1)/(2*(C260-C261))))+(E259-E262))),0)</f>
        <v>2096.377402666667</v>
      </c>
      <c r="D273" s="84"/>
      <c r="E273" s="84"/>
      <c r="F273" s="123"/>
    </row>
    <row r="274" spans="1:6" x14ac:dyDescent="0.2">
      <c r="A274" s="125" t="s">
        <v>159</v>
      </c>
      <c r="B274" s="126" t="s">
        <v>47</v>
      </c>
      <c r="C274" s="126"/>
      <c r="D274" s="127">
        <f>C271*C273/12/100</f>
        <v>24.020991072222227</v>
      </c>
      <c r="E274" s="127">
        <f>D274</f>
        <v>24.020991072222227</v>
      </c>
      <c r="F274" s="123"/>
    </row>
    <row r="275" spans="1:6" x14ac:dyDescent="0.2">
      <c r="A275" s="85" t="s">
        <v>160</v>
      </c>
      <c r="B275" s="86"/>
      <c r="C275" s="86"/>
      <c r="D275" s="87"/>
      <c r="E275" s="88">
        <f>E274</f>
        <v>24.020991072222227</v>
      </c>
      <c r="F275" s="123"/>
    </row>
    <row r="276" spans="1:6" ht="12" customHeight="1" x14ac:dyDescent="0.2">
      <c r="A276" s="101" t="s">
        <v>154</v>
      </c>
      <c r="B276" s="129" t="s">
        <v>63</v>
      </c>
      <c r="C276" s="83">
        <f>C265</f>
        <v>182</v>
      </c>
      <c r="D276" s="102">
        <f>E275</f>
        <v>24.020991072222227</v>
      </c>
      <c r="E276" s="88">
        <f>C276*D276</f>
        <v>4371.8203751444453</v>
      </c>
      <c r="F276" s="123"/>
    </row>
    <row r="277" spans="1:6" x14ac:dyDescent="0.2">
      <c r="C277" s="132"/>
      <c r="D277" s="91" t="s">
        <v>32</v>
      </c>
      <c r="E277" s="92">
        <v>1</v>
      </c>
      <c r="F277" s="121">
        <f>E276*E277</f>
        <v>4371.8203751444453</v>
      </c>
    </row>
    <row r="278" spans="1:6" ht="9" customHeight="1" x14ac:dyDescent="0.2"/>
    <row r="279" spans="1:6" x14ac:dyDescent="0.2">
      <c r="A279" s="152" t="s">
        <v>161</v>
      </c>
    </row>
    <row r="280" spans="1:6" x14ac:dyDescent="0.2">
      <c r="A280" s="74" t="s">
        <v>19</v>
      </c>
      <c r="B280" s="94" t="s">
        <v>20</v>
      </c>
      <c r="C280" s="94" t="s">
        <v>11</v>
      </c>
      <c r="D280" s="95" t="s">
        <v>21</v>
      </c>
      <c r="E280" s="95" t="s">
        <v>22</v>
      </c>
      <c r="F280" s="96" t="s">
        <v>23</v>
      </c>
    </row>
    <row r="281" spans="1:6" x14ac:dyDescent="0.2">
      <c r="A281" s="78" t="s">
        <v>162</v>
      </c>
      <c r="B281" s="79" t="s">
        <v>63</v>
      </c>
      <c r="C281" s="79">
        <f>C265</f>
        <v>182</v>
      </c>
      <c r="D281" s="80">
        <v>22.32</v>
      </c>
      <c r="E281" s="81">
        <f>C281*D281</f>
        <v>4062.2400000000002</v>
      </c>
      <c r="F281" s="123"/>
    </row>
    <row r="282" spans="1:6" x14ac:dyDescent="0.2">
      <c r="A282" s="82" t="s">
        <v>163</v>
      </c>
      <c r="B282" s="83" t="s">
        <v>63</v>
      </c>
      <c r="C282" s="90">
        <v>0.33</v>
      </c>
      <c r="D282" s="84"/>
      <c r="E282" s="84"/>
      <c r="F282" s="123"/>
    </row>
    <row r="283" spans="1:6" x14ac:dyDescent="0.2">
      <c r="A283" s="82" t="s">
        <v>164</v>
      </c>
      <c r="B283" s="83" t="s">
        <v>63</v>
      </c>
      <c r="C283" s="131">
        <f>C281*C282</f>
        <v>60.06</v>
      </c>
      <c r="D283" s="111">
        <v>3.6560000000000001</v>
      </c>
      <c r="E283" s="81">
        <f>C283*D283</f>
        <v>219.57936000000001</v>
      </c>
      <c r="F283" s="123"/>
    </row>
    <row r="284" spans="1:6" x14ac:dyDescent="0.2">
      <c r="A284" s="82" t="s">
        <v>165</v>
      </c>
      <c r="B284" s="83" t="s">
        <v>63</v>
      </c>
      <c r="C284" s="84">
        <f>C283</f>
        <v>60.06</v>
      </c>
      <c r="D284" s="111">
        <v>5.1760000000000002</v>
      </c>
      <c r="E284" s="81">
        <f>C284*D284</f>
        <v>310.87056000000001</v>
      </c>
      <c r="F284" s="123"/>
    </row>
    <row r="285" spans="1:6" x14ac:dyDescent="0.2">
      <c r="A285" s="125"/>
      <c r="B285" s="126"/>
      <c r="C285" s="126"/>
      <c r="D285" s="127"/>
      <c r="E285" s="127"/>
      <c r="F285" s="123"/>
    </row>
    <row r="286" spans="1:6" x14ac:dyDescent="0.2">
      <c r="A286" s="85" t="s">
        <v>160</v>
      </c>
      <c r="B286" s="86"/>
      <c r="C286" s="86"/>
      <c r="D286" s="87"/>
      <c r="E286" s="88">
        <f>SUM(E281:E285)/C284</f>
        <v>76.468363636363648</v>
      </c>
      <c r="F286" s="123"/>
    </row>
    <row r="287" spans="1:6" x14ac:dyDescent="0.2">
      <c r="A287" s="101" t="s">
        <v>154</v>
      </c>
      <c r="B287" s="3"/>
      <c r="C287" s="3"/>
      <c r="D287" s="3"/>
      <c r="E287" s="88">
        <f>SUM(E281:E285)</f>
        <v>4592.6899200000007</v>
      </c>
      <c r="F287" s="123"/>
    </row>
    <row r="288" spans="1:6" x14ac:dyDescent="0.2">
      <c r="C288" s="132"/>
      <c r="D288" s="91" t="s">
        <v>32</v>
      </c>
      <c r="E288" s="92">
        <v>0.33</v>
      </c>
      <c r="F288" s="121">
        <f>E281+E283+E284</f>
        <v>4592.6899200000007</v>
      </c>
    </row>
    <row r="289" spans="1:7" ht="12" customHeight="1" x14ac:dyDescent="0.2">
      <c r="D289" s="14"/>
      <c r="E289" s="14"/>
      <c r="F289" s="14"/>
    </row>
    <row r="290" spans="1:7" s="19" customFormat="1" x14ac:dyDescent="0.2">
      <c r="A290" s="112" t="s">
        <v>166</v>
      </c>
      <c r="B290" s="113"/>
      <c r="C290" s="113"/>
      <c r="D290" s="50"/>
      <c r="E290" s="114"/>
      <c r="F290" s="121">
        <f>+SUM(F187:F288)</f>
        <v>31965.356803229224</v>
      </c>
      <c r="G290" s="15"/>
    </row>
    <row r="291" spans="1:7" s="19" customFormat="1" ht="9.75" customHeight="1" x14ac:dyDescent="0.2">
      <c r="A291" s="14"/>
      <c r="B291" s="14"/>
      <c r="C291" s="14"/>
      <c r="D291" s="15"/>
      <c r="E291" s="15"/>
      <c r="F291" s="15"/>
      <c r="G291" s="15"/>
    </row>
    <row r="292" spans="1:7" s="19" customFormat="1" ht="9.75" customHeight="1" x14ac:dyDescent="0.2">
      <c r="A292" s="36" t="s">
        <v>167</v>
      </c>
      <c r="B292" s="36"/>
      <c r="C292" s="36"/>
      <c r="D292" s="35"/>
      <c r="E292" s="35"/>
      <c r="F292" s="87"/>
      <c r="G292" s="15"/>
    </row>
    <row r="294" spans="1:7" x14ac:dyDescent="0.2">
      <c r="A294" s="74" t="s">
        <v>19</v>
      </c>
      <c r="B294" s="94" t="s">
        <v>20</v>
      </c>
      <c r="C294" s="94" t="s">
        <v>11</v>
      </c>
      <c r="D294" s="95" t="s">
        <v>21</v>
      </c>
      <c r="E294" s="95" t="s">
        <v>22</v>
      </c>
      <c r="F294" s="96" t="s">
        <v>23</v>
      </c>
    </row>
    <row r="295" spans="1:7" x14ac:dyDescent="0.2">
      <c r="A295" s="82" t="s">
        <v>168</v>
      </c>
      <c r="B295" s="83" t="s">
        <v>63</v>
      </c>
      <c r="C295" s="116">
        <v>0.16666666666666699</v>
      </c>
      <c r="D295" s="80">
        <v>70</v>
      </c>
      <c r="E295" s="84">
        <f>C295*D295</f>
        <v>11.666666666666689</v>
      </c>
      <c r="F295" s="123"/>
    </row>
    <row r="296" spans="1:7" x14ac:dyDescent="0.2">
      <c r="A296" s="82" t="s">
        <v>169</v>
      </c>
      <c r="B296" s="83" t="s">
        <v>63</v>
      </c>
      <c r="C296" s="116">
        <v>0.16666666666666699</v>
      </c>
      <c r="D296" s="80">
        <v>65</v>
      </c>
      <c r="E296" s="84">
        <f>C296*D296</f>
        <v>10.833333333333355</v>
      </c>
      <c r="F296" s="123"/>
    </row>
    <row r="297" spans="1:7" x14ac:dyDescent="0.2">
      <c r="A297" s="82" t="s">
        <v>170</v>
      </c>
      <c r="B297" s="83" t="s">
        <v>63</v>
      </c>
      <c r="C297" s="116">
        <v>0.16666666666666699</v>
      </c>
      <c r="D297" s="80">
        <v>35.03</v>
      </c>
      <c r="E297" s="84">
        <f>C297*D297</f>
        <v>5.8383333333333445</v>
      </c>
      <c r="F297" s="123"/>
    </row>
    <row r="298" spans="1:7" x14ac:dyDescent="0.2">
      <c r="A298" s="82" t="s">
        <v>171</v>
      </c>
      <c r="B298" s="83" t="s">
        <v>172</v>
      </c>
      <c r="C298" s="116">
        <v>8.3333333333333301E-2</v>
      </c>
      <c r="D298" s="80">
        <v>2340</v>
      </c>
      <c r="E298" s="84">
        <f>C298*D298</f>
        <v>194.99999999999991</v>
      </c>
      <c r="F298" s="123"/>
    </row>
    <row r="299" spans="1:7" x14ac:dyDescent="0.2">
      <c r="A299" s="82" t="s">
        <v>173</v>
      </c>
      <c r="B299" s="83" t="s">
        <v>172</v>
      </c>
      <c r="C299" s="116">
        <v>8.3333333333333301E-2</v>
      </c>
      <c r="D299" s="80">
        <v>3900</v>
      </c>
      <c r="E299" s="84">
        <f>C299*D299</f>
        <v>324.99999999999989</v>
      </c>
      <c r="F299" s="123"/>
    </row>
    <row r="300" spans="1:7" x14ac:dyDescent="0.2">
      <c r="A300" s="36"/>
      <c r="B300" s="36"/>
      <c r="C300" s="36"/>
      <c r="D300" s="36"/>
      <c r="E300" s="35"/>
      <c r="F300" s="121">
        <f>SUM(E295:E299)</f>
        <v>548.33833333333314</v>
      </c>
    </row>
    <row r="302" spans="1:7" x14ac:dyDescent="0.2">
      <c r="A302" s="112" t="s">
        <v>174</v>
      </c>
      <c r="B302" s="113"/>
      <c r="C302" s="113"/>
      <c r="D302" s="50"/>
      <c r="E302" s="114"/>
      <c r="F302" s="121">
        <f>+F300</f>
        <v>548.33833333333314</v>
      </c>
    </row>
    <row r="304" spans="1:7" x14ac:dyDescent="0.2">
      <c r="A304" s="36" t="s">
        <v>175</v>
      </c>
      <c r="B304" s="36"/>
      <c r="C304" s="36"/>
      <c r="D304" s="35"/>
      <c r="E304" s="35"/>
      <c r="F304" s="87"/>
    </row>
    <row r="306" spans="1:7" x14ac:dyDescent="0.2">
      <c r="A306" s="74" t="s">
        <v>19</v>
      </c>
      <c r="B306" s="94" t="s">
        <v>20</v>
      </c>
      <c r="C306" s="94" t="s">
        <v>11</v>
      </c>
      <c r="D306" s="95" t="s">
        <v>21</v>
      </c>
      <c r="E306" s="95" t="s">
        <v>22</v>
      </c>
      <c r="F306" s="96" t="s">
        <v>23</v>
      </c>
    </row>
    <row r="307" spans="1:7" ht="25.5" x14ac:dyDescent="0.2">
      <c r="A307" s="140" t="s">
        <v>176</v>
      </c>
      <c r="B307" s="83" t="s">
        <v>25</v>
      </c>
      <c r="C307" s="117">
        <v>1</v>
      </c>
      <c r="D307" s="111">
        <v>617.66</v>
      </c>
      <c r="E307" s="84">
        <f>C307*D307</f>
        <v>617.66</v>
      </c>
      <c r="F307" s="123"/>
    </row>
    <row r="308" spans="1:7" x14ac:dyDescent="0.2">
      <c r="A308" s="82" t="s">
        <v>177</v>
      </c>
      <c r="B308" s="155" t="s">
        <v>25</v>
      </c>
      <c r="C308" s="83">
        <v>1</v>
      </c>
      <c r="D308" s="156">
        <f>+E307</f>
        <v>617.66</v>
      </c>
      <c r="E308" s="156">
        <f>+D308/C308</f>
        <v>617.66</v>
      </c>
      <c r="F308" s="123"/>
    </row>
    <row r="309" spans="1:7" x14ac:dyDescent="0.2">
      <c r="A309" s="99"/>
      <c r="B309" s="99"/>
      <c r="C309" s="99"/>
      <c r="D309" s="91" t="s">
        <v>32</v>
      </c>
      <c r="E309" s="92">
        <f>$B$54</f>
        <v>0.72719999999999996</v>
      </c>
      <c r="F309" s="121">
        <f>E308*E309</f>
        <v>449.16235199999994</v>
      </c>
    </row>
    <row r="311" spans="1:7" x14ac:dyDescent="0.2">
      <c r="A311" s="112" t="s">
        <v>178</v>
      </c>
      <c r="B311" s="113"/>
      <c r="C311" s="113"/>
      <c r="D311" s="50"/>
      <c r="E311" s="114"/>
      <c r="F311" s="121">
        <f>+F309</f>
        <v>449.16235199999994</v>
      </c>
    </row>
    <row r="313" spans="1:7" x14ac:dyDescent="0.2">
      <c r="A313" s="112" t="s">
        <v>179</v>
      </c>
      <c r="B313" s="118"/>
      <c r="C313" s="118"/>
      <c r="D313" s="119"/>
      <c r="E313" s="120"/>
      <c r="F313" s="110">
        <f>+F143+F179+F290+F302+F311</f>
        <v>44478.018808793575</v>
      </c>
    </row>
    <row r="314" spans="1:7" x14ac:dyDescent="0.2">
      <c r="A314" s="36"/>
      <c r="F314" s="35"/>
    </row>
    <row r="315" spans="1:7" x14ac:dyDescent="0.2">
      <c r="A315" s="36" t="s">
        <v>180</v>
      </c>
    </row>
    <row r="316" spans="1:7" x14ac:dyDescent="0.2">
      <c r="A316" s="36"/>
    </row>
    <row r="317" spans="1:7" ht="24" x14ac:dyDescent="0.2">
      <c r="A317" s="74" t="s">
        <v>19</v>
      </c>
      <c r="B317" s="94" t="s">
        <v>20</v>
      </c>
      <c r="C317" s="115" t="s">
        <v>181</v>
      </c>
      <c r="D317" s="95" t="s">
        <v>21</v>
      </c>
      <c r="E317" s="95" t="s">
        <v>22</v>
      </c>
      <c r="F317" s="96" t="s">
        <v>23</v>
      </c>
    </row>
    <row r="318" spans="1:7" x14ac:dyDescent="0.2">
      <c r="A318" s="78" t="s">
        <v>182</v>
      </c>
      <c r="B318" s="157" t="s">
        <v>183</v>
      </c>
      <c r="C318" s="158">
        <v>60.72</v>
      </c>
      <c r="D318" s="80">
        <v>160.66999999999999</v>
      </c>
      <c r="E318" s="81">
        <f>+D318*C318</f>
        <v>9755.8823999999986</v>
      </c>
      <c r="F318" s="123"/>
    </row>
    <row r="319" spans="1:7" x14ac:dyDescent="0.2">
      <c r="A319" s="99"/>
      <c r="B319" s="99"/>
      <c r="C319" s="99"/>
      <c r="D319" s="91"/>
      <c r="F319" s="121">
        <f>SUM(E318:E318)</f>
        <v>9755.8823999999986</v>
      </c>
    </row>
    <row r="320" spans="1:7" ht="9" customHeight="1" x14ac:dyDescent="0.2">
      <c r="G320" s="14"/>
    </row>
    <row r="321" spans="1:6" x14ac:dyDescent="0.2">
      <c r="A321" s="112" t="s">
        <v>184</v>
      </c>
      <c r="B321" s="113"/>
      <c r="C321" s="113"/>
      <c r="D321" s="50"/>
      <c r="E321" s="114"/>
      <c r="F321" s="121">
        <f>+F319</f>
        <v>9755.8823999999986</v>
      </c>
    </row>
    <row r="322" spans="1:6" x14ac:dyDescent="0.2">
      <c r="A322" s="36"/>
      <c r="B322" s="36"/>
      <c r="C322" s="36"/>
      <c r="D322" s="35"/>
      <c r="E322" s="35"/>
      <c r="F322" s="87"/>
    </row>
    <row r="323" spans="1:6" x14ac:dyDescent="0.2">
      <c r="A323" s="36"/>
      <c r="B323" s="36"/>
      <c r="C323" s="36"/>
      <c r="D323" s="35"/>
      <c r="E323" s="35"/>
      <c r="F323" s="87"/>
    </row>
    <row r="324" spans="1:6" x14ac:dyDescent="0.2">
      <c r="A324" s="36"/>
      <c r="B324" s="36"/>
      <c r="C324" s="36"/>
      <c r="D324" s="35"/>
      <c r="E324" s="35"/>
      <c r="F324" s="87"/>
    </row>
    <row r="325" spans="1:6" x14ac:dyDescent="0.2">
      <c r="A325" s="36" t="s">
        <v>185</v>
      </c>
    </row>
    <row r="326" spans="1:6" x14ac:dyDescent="0.2">
      <c r="A326" s="36"/>
    </row>
    <row r="327" spans="1:6" ht="24" x14ac:dyDescent="0.2">
      <c r="A327" s="74" t="s">
        <v>19</v>
      </c>
      <c r="B327" s="94" t="s">
        <v>20</v>
      </c>
      <c r="C327" s="115" t="s">
        <v>181</v>
      </c>
      <c r="D327" s="95" t="s">
        <v>21</v>
      </c>
      <c r="E327" s="95" t="s">
        <v>22</v>
      </c>
      <c r="F327" s="96" t="s">
        <v>23</v>
      </c>
    </row>
    <row r="328" spans="1:6" x14ac:dyDescent="0.2">
      <c r="A328" s="78" t="s">
        <v>186</v>
      </c>
      <c r="B328" s="157" t="s">
        <v>187</v>
      </c>
      <c r="C328" s="158">
        <v>16</v>
      </c>
      <c r="D328" s="80">
        <v>20</v>
      </c>
      <c r="E328" s="81">
        <f>+D328*C328</f>
        <v>320</v>
      </c>
      <c r="F328" s="123"/>
    </row>
    <row r="329" spans="1:6" x14ac:dyDescent="0.2">
      <c r="A329" s="99"/>
      <c r="B329" s="99"/>
      <c r="C329" s="99"/>
      <c r="D329" s="91"/>
      <c r="F329" s="121">
        <f>SUM(E328:E328)</f>
        <v>320</v>
      </c>
    </row>
    <row r="331" spans="1:6" x14ac:dyDescent="0.2">
      <c r="A331" s="112" t="s">
        <v>188</v>
      </c>
      <c r="B331" s="113"/>
      <c r="C331" s="113"/>
      <c r="D331" s="50"/>
      <c r="E331" s="114"/>
      <c r="F331" s="121">
        <f>+F329</f>
        <v>320</v>
      </c>
    </row>
    <row r="333" spans="1:6" x14ac:dyDescent="0.2">
      <c r="A333" s="36" t="s">
        <v>189</v>
      </c>
    </row>
    <row r="335" spans="1:6" x14ac:dyDescent="0.2">
      <c r="A335" s="74" t="s">
        <v>19</v>
      </c>
      <c r="B335" s="94" t="s">
        <v>20</v>
      </c>
      <c r="C335" s="94" t="s">
        <v>11</v>
      </c>
      <c r="D335" s="95" t="s">
        <v>21</v>
      </c>
      <c r="E335" s="95" t="s">
        <v>22</v>
      </c>
      <c r="F335" s="96" t="s">
        <v>23</v>
      </c>
    </row>
    <row r="336" spans="1:6" x14ac:dyDescent="0.2">
      <c r="A336" s="78" t="s">
        <v>190</v>
      </c>
      <c r="B336" s="79" t="s">
        <v>7</v>
      </c>
      <c r="C336" s="89">
        <f>'4.BDI'!C20*100</f>
        <v>27.169999999999998</v>
      </c>
      <c r="D336" s="81">
        <f>F313</f>
        <v>44478.018808793575</v>
      </c>
      <c r="E336" s="81">
        <f>C336*D336/100</f>
        <v>12084.677710349213</v>
      </c>
    </row>
    <row r="337" spans="1:6" ht="25.5" x14ac:dyDescent="0.2">
      <c r="A337" s="140" t="s">
        <v>191</v>
      </c>
      <c r="B337" s="83" t="s">
        <v>7</v>
      </c>
      <c r="C337" s="89">
        <f>'4.BDI (2)'!C20*100</f>
        <v>14.02</v>
      </c>
      <c r="D337" s="84">
        <f>F321+F329</f>
        <v>10075.882399999999</v>
      </c>
      <c r="E337" s="84">
        <f>D337*C337/100</f>
        <v>1412.6387124799999</v>
      </c>
    </row>
    <row r="338" spans="1:6" x14ac:dyDescent="0.2">
      <c r="F338" s="121">
        <f>+E336+E337</f>
        <v>13497.316422829213</v>
      </c>
    </row>
    <row r="340" spans="1:6" x14ac:dyDescent="0.2">
      <c r="A340" s="112" t="s">
        <v>192</v>
      </c>
      <c r="B340" s="118"/>
      <c r="C340" s="118"/>
      <c r="D340" s="119"/>
      <c r="E340" s="120"/>
      <c r="F340" s="110">
        <f>F338</f>
        <v>13497.316422829213</v>
      </c>
    </row>
    <row r="341" spans="1:6" x14ac:dyDescent="0.2">
      <c r="A341" s="36"/>
      <c r="B341" s="36"/>
      <c r="C341" s="36"/>
      <c r="D341" s="35"/>
      <c r="E341" s="35"/>
      <c r="F341" s="87"/>
    </row>
    <row r="343" spans="1:6" x14ac:dyDescent="0.2">
      <c r="A343" s="112" t="s">
        <v>193</v>
      </c>
      <c r="B343" s="118"/>
      <c r="C343" s="118"/>
      <c r="D343" s="119"/>
      <c r="E343" s="120"/>
      <c r="F343" s="110">
        <f>F313+H348+F340+F321+F331</f>
        <v>68051.217631622785</v>
      </c>
    </row>
    <row r="344" spans="1:6" ht="15.75" x14ac:dyDescent="0.2">
      <c r="A344" s="132" t="s">
        <v>194</v>
      </c>
      <c r="B344" s="16"/>
      <c r="C344" s="16"/>
      <c r="D344" s="159"/>
      <c r="E344" s="159"/>
      <c r="F344" s="159"/>
    </row>
    <row r="345" spans="1:6" ht="14.25" x14ac:dyDescent="0.2">
      <c r="A345" s="22"/>
      <c r="B345" s="22"/>
      <c r="C345" s="22"/>
      <c r="D345" s="21"/>
      <c r="E345" s="21"/>
    </row>
    <row r="347" spans="1:6" x14ac:dyDescent="0.2">
      <c r="A347" s="160" t="s">
        <v>195</v>
      </c>
      <c r="B347" s="36"/>
      <c r="C347" s="36"/>
      <c r="D347" s="35"/>
      <c r="E347" s="35"/>
      <c r="F347" s="35"/>
    </row>
    <row r="348" spans="1:6" x14ac:dyDescent="0.2">
      <c r="A348" s="132" t="s">
        <v>196</v>
      </c>
      <c r="B348" s="15"/>
      <c r="C348" s="15"/>
    </row>
    <row r="349" spans="1:6" x14ac:dyDescent="0.2">
      <c r="A349" s="132" t="s">
        <v>197</v>
      </c>
      <c r="B349" s="15"/>
      <c r="C349" s="15"/>
    </row>
    <row r="350" spans="1:6" ht="15.75" x14ac:dyDescent="0.2">
      <c r="A350" s="159"/>
      <c r="B350" s="15"/>
      <c r="C350" s="15"/>
    </row>
    <row r="380" spans="7:7" s="14" customFormat="1" x14ac:dyDescent="0.2">
      <c r="G380" s="15"/>
    </row>
  </sheetData>
  <mergeCells count="13">
    <mergeCell ref="B56:D58"/>
    <mergeCell ref="E56:F58"/>
    <mergeCell ref="B287:D287"/>
    <mergeCell ref="A14:F14"/>
    <mergeCell ref="A24:C24"/>
    <mergeCell ref="A42:E42"/>
    <mergeCell ref="A43:D43"/>
    <mergeCell ref="A50:D50"/>
    <mergeCell ref="A6:A8"/>
    <mergeCell ref="B6:F6"/>
    <mergeCell ref="B7:F8"/>
    <mergeCell ref="A11:F11"/>
    <mergeCell ref="A12:F12"/>
  </mergeCells>
  <hyperlinks>
    <hyperlink ref="A185" location="AbaDeprec" display="3.1.1. Depreciação" xr:uid="{00000000-0004-0000-0000-000000000000}"/>
    <hyperlink ref="A201" location="AbaRemun" display="3.1.2. Remuneração do Capital" xr:uid="{00000000-0004-0000-0000-000001000000}"/>
    <hyperlink ref="A257" location="AbaDeprec" display="3.2.1 Depreciação" xr:uid="{00000000-0004-0000-0000-000002000000}"/>
    <hyperlink ref="A268" location="AbaRemun" display="3.2.2. Remuneração do Capital" xr:uid="{00000000-0004-0000-0000-000003000000}"/>
    <hyperlink ref="A279" location="AbaRemun" display="3.2.3. Higienização mensal dos containers" xr:uid="{00000000-0004-0000-0000-000004000000}"/>
  </hyperlinks>
  <pageMargins left="0.905555555555556" right="0.51180555555555596" top="0.74791666666666701" bottom="0.74791666666666701" header="0.511811023622047" footer="0.31527777777777799"/>
  <pageSetup paperSize="9" scale="76" fitToHeight="0" orientation="portrait" horizontalDpi="300" verticalDpi="300" r:id="rId1"/>
  <headerFooter>
    <oddFooter>&amp;R&amp;P de &amp;N</oddFooter>
  </headerFooter>
  <rowBreaks count="4" manualBreakCount="4">
    <brk id="55" max="16383" man="1"/>
    <brk id="122" max="16383" man="1"/>
    <brk id="180" max="16383" man="1"/>
    <brk id="24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topLeftCell="A19" zoomScaleNormal="100" workbookViewId="0">
      <selection activeCell="A2" sqref="A2"/>
    </sheetView>
  </sheetViews>
  <sheetFormatPr defaultColWidth="9.140625" defaultRowHeight="12.75" x14ac:dyDescent="0.2"/>
  <cols>
    <col min="1" max="1" width="13.5703125" style="161" customWidth="1"/>
    <col min="2" max="2" width="39.5703125" style="161" customWidth="1"/>
    <col min="3" max="3" width="14.5703125" style="161" customWidth="1"/>
    <col min="4" max="4" width="37.28515625" style="161" customWidth="1"/>
    <col min="5" max="10" width="9.140625" style="161"/>
    <col min="11" max="11" width="11" style="161" customWidth="1"/>
    <col min="12" max="16384" width="9.140625" style="161"/>
  </cols>
  <sheetData>
    <row r="1" spans="1:7" x14ac:dyDescent="0.2">
      <c r="A1" s="36" t="s">
        <v>198</v>
      </c>
    </row>
    <row r="2" spans="1:7" x14ac:dyDescent="0.2">
      <c r="A2" s="162" t="s">
        <v>199</v>
      </c>
    </row>
    <row r="3" spans="1:7" s="19" customFormat="1" ht="15" customHeight="1" x14ac:dyDescent="0.2">
      <c r="B3" s="20"/>
      <c r="C3" s="20"/>
      <c r="D3" s="20"/>
      <c r="E3" s="20"/>
      <c r="F3" s="20"/>
      <c r="G3" s="15"/>
    </row>
    <row r="4" spans="1:7" s="19" customFormat="1" ht="15" customHeight="1" x14ac:dyDescent="0.2">
      <c r="A4" s="17"/>
      <c r="B4" s="20"/>
      <c r="C4" s="20"/>
      <c r="D4" s="20"/>
      <c r="E4" s="20"/>
      <c r="F4" s="20"/>
      <c r="G4" s="15"/>
    </row>
    <row r="5" spans="1:7" s="19" customFormat="1" ht="16.5" customHeight="1" x14ac:dyDescent="0.2">
      <c r="A5" s="17"/>
      <c r="B5" s="20"/>
      <c r="C5" s="20"/>
      <c r="D5" s="15"/>
      <c r="E5" s="15"/>
      <c r="F5" s="15"/>
      <c r="G5" s="15"/>
    </row>
    <row r="7" spans="1:7" ht="18" x14ac:dyDescent="0.2">
      <c r="A7" s="2" t="s">
        <v>200</v>
      </c>
      <c r="B7" s="2"/>
      <c r="C7" s="2"/>
      <c r="D7" s="163"/>
      <c r="E7" s="163"/>
      <c r="F7" s="163"/>
    </row>
    <row r="8" spans="1:7" ht="14.25" x14ac:dyDescent="0.2">
      <c r="A8" s="164" t="s">
        <v>201</v>
      </c>
      <c r="B8" s="165" t="s">
        <v>202</v>
      </c>
      <c r="C8" s="166" t="s">
        <v>203</v>
      </c>
      <c r="D8" s="167"/>
    </row>
    <row r="9" spans="1:7" ht="14.25" x14ac:dyDescent="0.2">
      <c r="A9" s="164" t="s">
        <v>204</v>
      </c>
      <c r="B9" s="165" t="s">
        <v>205</v>
      </c>
      <c r="C9" s="168">
        <v>0.2</v>
      </c>
      <c r="D9" s="167"/>
    </row>
    <row r="10" spans="1:7" ht="14.25" x14ac:dyDescent="0.2">
      <c r="A10" s="164" t="s">
        <v>206</v>
      </c>
      <c r="B10" s="165" t="s">
        <v>207</v>
      </c>
      <c r="C10" s="168">
        <v>1.4999999999999999E-2</v>
      </c>
      <c r="D10" s="167"/>
    </row>
    <row r="11" spans="1:7" ht="14.25" x14ac:dyDescent="0.2">
      <c r="A11" s="164" t="s">
        <v>208</v>
      </c>
      <c r="B11" s="165" t="s">
        <v>209</v>
      </c>
      <c r="C11" s="168">
        <v>0.01</v>
      </c>
      <c r="D11" s="167"/>
    </row>
    <row r="12" spans="1:7" ht="14.25" x14ac:dyDescent="0.2">
      <c r="A12" s="164" t="s">
        <v>210</v>
      </c>
      <c r="B12" s="165" t="s">
        <v>211</v>
      </c>
      <c r="C12" s="168">
        <v>2E-3</v>
      </c>
      <c r="D12" s="167"/>
    </row>
    <row r="13" spans="1:7" ht="14.25" x14ac:dyDescent="0.2">
      <c r="A13" s="164" t="s">
        <v>212</v>
      </c>
      <c r="B13" s="165" t="s">
        <v>213</v>
      </c>
      <c r="C13" s="168">
        <v>6.0000000000000001E-3</v>
      </c>
      <c r="D13" s="167"/>
    </row>
    <row r="14" spans="1:7" ht="14.25" x14ac:dyDescent="0.2">
      <c r="A14" s="164" t="s">
        <v>214</v>
      </c>
      <c r="B14" s="165" t="s">
        <v>215</v>
      </c>
      <c r="C14" s="168">
        <v>2.5000000000000001E-2</v>
      </c>
      <c r="D14" s="167"/>
    </row>
    <row r="15" spans="1:7" ht="14.25" x14ac:dyDescent="0.2">
      <c r="A15" s="164" t="s">
        <v>216</v>
      </c>
      <c r="B15" s="165" t="s">
        <v>217</v>
      </c>
      <c r="C15" s="168">
        <v>0.03</v>
      </c>
      <c r="D15" s="167"/>
    </row>
    <row r="16" spans="1:7" ht="14.25" x14ac:dyDescent="0.2">
      <c r="A16" s="164" t="s">
        <v>218</v>
      </c>
      <c r="B16" s="165" t="s">
        <v>219</v>
      </c>
      <c r="C16" s="168">
        <v>0.08</v>
      </c>
      <c r="D16" s="167"/>
    </row>
    <row r="17" spans="1:8" ht="15" x14ac:dyDescent="0.2">
      <c r="A17" s="164" t="s">
        <v>220</v>
      </c>
      <c r="B17" s="169" t="s">
        <v>221</v>
      </c>
      <c r="C17" s="170">
        <f>SUM(C9:C16)</f>
        <v>0.36800000000000005</v>
      </c>
      <c r="D17" s="167"/>
    </row>
    <row r="18" spans="1:8" ht="15" x14ac:dyDescent="0.2">
      <c r="A18" s="171"/>
      <c r="B18" s="172"/>
      <c r="C18" s="173"/>
      <c r="D18" s="167"/>
    </row>
    <row r="19" spans="1:8" ht="14.25" x14ac:dyDescent="0.2">
      <c r="A19" s="164" t="s">
        <v>222</v>
      </c>
      <c r="B19" s="174" t="s">
        <v>223</v>
      </c>
      <c r="C19" s="168">
        <f>ROUND(IF('3.CAGED'!C28&gt;24,(1-12/'3.CAGED'!C28)*0.1111,0.1111-C28),4)</f>
        <v>6.1899999999999997E-2</v>
      </c>
      <c r="D19" s="167"/>
    </row>
    <row r="20" spans="1:8" ht="14.25" x14ac:dyDescent="0.2">
      <c r="A20" s="164" t="s">
        <v>224</v>
      </c>
      <c r="B20" s="174" t="s">
        <v>225</v>
      </c>
      <c r="C20" s="168">
        <f>ROUND('3.CAGED'!C32/'3.CAGED'!C29,4)</f>
        <v>8.3299999999999999E-2</v>
      </c>
      <c r="D20" s="167"/>
    </row>
    <row r="21" spans="1:8" ht="14.25" x14ac:dyDescent="0.2">
      <c r="A21" s="164" t="s">
        <v>226</v>
      </c>
      <c r="B21" s="174" t="s">
        <v>227</v>
      </c>
      <c r="C21" s="168">
        <v>5.9999999999999995E-4</v>
      </c>
      <c r="D21" s="167"/>
    </row>
    <row r="22" spans="1:8" ht="14.25" x14ac:dyDescent="0.2">
      <c r="A22" s="164" t="s">
        <v>228</v>
      </c>
      <c r="B22" s="174" t="s">
        <v>229</v>
      </c>
      <c r="C22" s="168">
        <v>8.2000000000000007E-3</v>
      </c>
      <c r="D22" s="167"/>
    </row>
    <row r="23" spans="1:8" ht="14.25" x14ac:dyDescent="0.2">
      <c r="A23" s="164" t="s">
        <v>230</v>
      </c>
      <c r="B23" s="174" t="s">
        <v>231</v>
      </c>
      <c r="C23" s="168">
        <v>3.0999999999999999E-3</v>
      </c>
      <c r="D23" s="167"/>
    </row>
    <row r="24" spans="1:8" ht="14.25" x14ac:dyDescent="0.2">
      <c r="A24" s="164" t="s">
        <v>232</v>
      </c>
      <c r="B24" s="174" t="s">
        <v>233</v>
      </c>
      <c r="C24" s="168">
        <v>1.66E-2</v>
      </c>
      <c r="D24" s="167"/>
    </row>
    <row r="25" spans="1:8" ht="15" x14ac:dyDescent="0.2">
      <c r="A25" s="164" t="s">
        <v>234</v>
      </c>
      <c r="B25" s="169" t="s">
        <v>235</v>
      </c>
      <c r="C25" s="170">
        <f>SUM(C19:C24)</f>
        <v>0.17369999999999999</v>
      </c>
      <c r="D25" s="175"/>
    </row>
    <row r="26" spans="1:8" ht="15" x14ac:dyDescent="0.2">
      <c r="A26" s="171"/>
      <c r="B26" s="172"/>
      <c r="C26" s="173"/>
      <c r="D26" s="175"/>
    </row>
    <row r="27" spans="1:8" ht="14.25" x14ac:dyDescent="0.2">
      <c r="A27" s="164" t="s">
        <v>236</v>
      </c>
      <c r="B27" s="165" t="s">
        <v>237</v>
      </c>
      <c r="C27" s="168">
        <f>ROUND(('3.CAGED'!C33) *'3.CAGED'!C26/'3.CAGED'!C29,4)</f>
        <v>2.5600000000000001E-2</v>
      </c>
      <c r="D27" s="167"/>
      <c r="E27" s="176"/>
    </row>
    <row r="28" spans="1:8" ht="14.25" x14ac:dyDescent="0.2">
      <c r="A28" s="164" t="s">
        <v>238</v>
      </c>
      <c r="B28" s="165" t="s">
        <v>239</v>
      </c>
      <c r="C28" s="168">
        <f>ROUND(IF('3.CAGED'!C28&gt;12,12/'3.CAGED'!C28*0.1111,0.1111),4)</f>
        <v>4.9200000000000001E-2</v>
      </c>
      <c r="D28" s="167"/>
      <c r="H28" s="177"/>
    </row>
    <row r="29" spans="1:8" ht="14.25" x14ac:dyDescent="0.2">
      <c r="A29" s="164" t="s">
        <v>240</v>
      </c>
      <c r="B29" s="165" t="s">
        <v>241</v>
      </c>
      <c r="C29" s="168">
        <f>C27*C28</f>
        <v>1.2595200000000001E-3</v>
      </c>
      <c r="D29" s="167"/>
      <c r="E29" s="176"/>
    </row>
    <row r="30" spans="1:8" ht="14.25" x14ac:dyDescent="0.2">
      <c r="A30" s="164" t="s">
        <v>242</v>
      </c>
      <c r="B30" s="165" t="s">
        <v>243</v>
      </c>
      <c r="C30" s="168">
        <f>ROUND(('3.CAGED'!C29+'3.CAGED'!C30+'3.CAGED'!C32)/'3.CAGED'!C27*'3.CAGED'!C34*'3.CAGED'!C35*'3.CAGED'!C26/'3.CAGED'!C29,4)</f>
        <v>2.0500000000000001E-2</v>
      </c>
      <c r="D30" s="167"/>
      <c r="G30" s="176"/>
    </row>
    <row r="31" spans="1:8" ht="14.25" x14ac:dyDescent="0.2">
      <c r="A31" s="164" t="s">
        <v>244</v>
      </c>
      <c r="B31" s="165" t="s">
        <v>245</v>
      </c>
      <c r="C31" s="168">
        <f>ROUND(('3.CAGED'!C31/'3.CAGED'!C29)*'3.CAGED'!C26/12,4)</f>
        <v>1.8E-3</v>
      </c>
      <c r="D31" s="167"/>
    </row>
    <row r="32" spans="1:8" ht="15" x14ac:dyDescent="0.2">
      <c r="A32" s="164" t="s">
        <v>246</v>
      </c>
      <c r="B32" s="169" t="s">
        <v>247</v>
      </c>
      <c r="C32" s="170">
        <f>SUM(C27:C31)</f>
        <v>9.8359520000000006E-2</v>
      </c>
      <c r="D32" s="175"/>
    </row>
    <row r="33" spans="1:4" ht="15" x14ac:dyDescent="0.2">
      <c r="A33" s="171"/>
      <c r="B33" s="172"/>
      <c r="C33" s="173"/>
      <c r="D33" s="175"/>
    </row>
    <row r="34" spans="1:4" ht="14.25" x14ac:dyDescent="0.2">
      <c r="A34" s="164" t="s">
        <v>248</v>
      </c>
      <c r="B34" s="165" t="s">
        <v>249</v>
      </c>
      <c r="C34" s="168">
        <f>ROUND(C17*C25,4)</f>
        <v>6.3899999999999998E-2</v>
      </c>
      <c r="D34" s="167"/>
    </row>
    <row r="35" spans="1:4" ht="28.5" x14ac:dyDescent="0.2">
      <c r="A35" s="164" t="s">
        <v>250</v>
      </c>
      <c r="B35" s="178" t="s">
        <v>251</v>
      </c>
      <c r="C35" s="168">
        <f>ROUND((C27*C16),4)</f>
        <v>2E-3</v>
      </c>
      <c r="D35" s="167"/>
    </row>
    <row r="36" spans="1:4" ht="15" x14ac:dyDescent="0.2">
      <c r="A36" s="164" t="s">
        <v>252</v>
      </c>
      <c r="B36" s="169" t="s">
        <v>253</v>
      </c>
      <c r="C36" s="170">
        <f>SUM(C34:C35)</f>
        <v>6.59E-2</v>
      </c>
      <c r="D36" s="175"/>
    </row>
    <row r="37" spans="1:4" ht="15" x14ac:dyDescent="0.2">
      <c r="A37" s="179"/>
      <c r="B37" s="180" t="s">
        <v>254</v>
      </c>
      <c r="C37" s="181">
        <f>C36+C32+C25+C17</f>
        <v>0.70595951999999995</v>
      </c>
      <c r="D37" s="175"/>
    </row>
    <row r="38" spans="1:4" ht="15" x14ac:dyDescent="0.2">
      <c r="A38" s="167"/>
      <c r="B38" s="182"/>
      <c r="C38" s="183"/>
      <c r="D38" s="175"/>
    </row>
    <row r="39" spans="1:4" ht="14.25" x14ac:dyDescent="0.2">
      <c r="A39" s="167"/>
      <c r="B39" s="167"/>
      <c r="C39" s="184"/>
      <c r="D39" s="167"/>
    </row>
    <row r="40" spans="1:4" ht="14.25" x14ac:dyDescent="0.2">
      <c r="A40" s="167"/>
      <c r="B40" s="167"/>
      <c r="C40" s="184"/>
      <c r="D40" s="167"/>
    </row>
    <row r="41" spans="1:4" ht="14.25" x14ac:dyDescent="0.2">
      <c r="A41" s="167"/>
      <c r="B41" s="167"/>
      <c r="C41" s="184"/>
      <c r="D41" s="167"/>
    </row>
    <row r="42" spans="1:4" ht="14.25" x14ac:dyDescent="0.2">
      <c r="A42" s="167"/>
      <c r="B42" s="167"/>
      <c r="C42" s="184"/>
      <c r="D42" s="167"/>
    </row>
    <row r="43" spans="1:4" ht="15" x14ac:dyDescent="0.2">
      <c r="A43" s="167"/>
      <c r="B43" s="182"/>
      <c r="C43" s="183"/>
      <c r="D43" s="167"/>
    </row>
    <row r="44" spans="1:4" ht="15" x14ac:dyDescent="0.2">
      <c r="A44" s="175"/>
      <c r="B44" s="182"/>
      <c r="C44" s="183"/>
      <c r="D44" s="175"/>
    </row>
    <row r="45" spans="1:4" ht="16.5" x14ac:dyDescent="0.2">
      <c r="A45" s="185"/>
    </row>
    <row r="46" spans="1:4" x14ac:dyDescent="0.2">
      <c r="A46" s="186"/>
      <c r="B46" s="187"/>
      <c r="C46" s="187"/>
    </row>
    <row r="47" spans="1:4" ht="14.25" x14ac:dyDescent="0.2">
      <c r="A47" s="167"/>
      <c r="B47" s="188"/>
      <c r="C47" s="187"/>
    </row>
    <row r="48" spans="1:4" ht="14.25" x14ac:dyDescent="0.2">
      <c r="A48" s="167"/>
      <c r="B48" s="188"/>
      <c r="C48" s="167"/>
    </row>
    <row r="49" spans="1:3" ht="14.25" x14ac:dyDescent="0.2">
      <c r="A49" s="167"/>
      <c r="B49" s="184"/>
      <c r="C49" s="187"/>
    </row>
    <row r="50" spans="1:3" ht="14.25" x14ac:dyDescent="0.2">
      <c r="A50" s="167"/>
      <c r="B50" s="188"/>
      <c r="C50" s="167"/>
    </row>
    <row r="51" spans="1:3" ht="14.25" x14ac:dyDescent="0.2">
      <c r="A51" s="167"/>
      <c r="B51" s="184"/>
      <c r="C51" s="187"/>
    </row>
    <row r="52" spans="1:3" ht="14.25" x14ac:dyDescent="0.2">
      <c r="A52" s="167"/>
      <c r="B52" s="188"/>
      <c r="C52" s="167"/>
    </row>
    <row r="53" spans="1:3" ht="14.25" x14ac:dyDescent="0.2">
      <c r="A53" s="167"/>
      <c r="B53" s="184"/>
      <c r="C53" s="187"/>
    </row>
    <row r="54" spans="1:3" ht="14.25" x14ac:dyDescent="0.2">
      <c r="A54" s="167"/>
      <c r="B54" s="188"/>
      <c r="C54" s="167"/>
    </row>
    <row r="55" spans="1:3" ht="14.25" x14ac:dyDescent="0.2">
      <c r="A55" s="167"/>
      <c r="B55" s="184"/>
      <c r="C55" s="187"/>
    </row>
    <row r="56" spans="1:3" ht="16.5" x14ac:dyDescent="0.2">
      <c r="A56" s="185"/>
    </row>
    <row r="59" spans="1:3" x14ac:dyDescent="0.2">
      <c r="A59" s="122"/>
    </row>
  </sheetData>
  <mergeCells count="1">
    <mergeCell ref="A7:C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view="pageBreakPreview" topLeftCell="A7" zoomScaleNormal="100" workbookViewId="0">
      <selection activeCell="I17" sqref="I17"/>
    </sheetView>
  </sheetViews>
  <sheetFormatPr defaultColWidth="9.140625" defaultRowHeight="12.75" x14ac:dyDescent="0.2"/>
  <cols>
    <col min="1" max="1" width="8.5703125" style="161" customWidth="1"/>
    <col min="2" max="2" width="67.140625" style="161" customWidth="1"/>
    <col min="3" max="3" width="13.7109375" style="161" customWidth="1"/>
    <col min="4" max="4" width="10.28515625" style="161" customWidth="1"/>
    <col min="5" max="5" width="13.7109375" style="161" customWidth="1"/>
    <col min="6" max="16384" width="9.140625" style="161"/>
  </cols>
  <sheetData>
    <row r="1" spans="1:3" x14ac:dyDescent="0.2">
      <c r="A1" s="189" t="s">
        <v>255</v>
      </c>
    </row>
    <row r="3" spans="1:3" x14ac:dyDescent="0.2">
      <c r="A3" s="190" t="s">
        <v>256</v>
      </c>
    </row>
    <row r="4" spans="1:3" x14ac:dyDescent="0.2">
      <c r="A4" s="190" t="s">
        <v>257</v>
      </c>
    </row>
    <row r="5" spans="1:3" x14ac:dyDescent="0.2">
      <c r="A5" s="190"/>
    </row>
    <row r="7" spans="1:3" ht="18" x14ac:dyDescent="0.25">
      <c r="B7" s="1" t="s">
        <v>258</v>
      </c>
      <c r="C7" s="1"/>
    </row>
    <row r="8" spans="1:3" ht="15" x14ac:dyDescent="0.25">
      <c r="B8" s="191" t="s">
        <v>259</v>
      </c>
      <c r="C8" s="192"/>
    </row>
    <row r="9" spans="1:3" ht="15" x14ac:dyDescent="0.25">
      <c r="B9" s="193" t="s">
        <v>260</v>
      </c>
      <c r="C9" s="194">
        <v>2100</v>
      </c>
    </row>
    <row r="10" spans="1:3" ht="15" x14ac:dyDescent="0.25">
      <c r="B10" s="195" t="s">
        <v>261</v>
      </c>
      <c r="C10" s="194">
        <v>2031</v>
      </c>
    </row>
    <row r="11" spans="1:3" ht="14.25" x14ac:dyDescent="0.2">
      <c r="B11" s="196" t="s">
        <v>262</v>
      </c>
      <c r="C11" s="197">
        <v>44</v>
      </c>
    </row>
    <row r="12" spans="1:3" ht="14.25" x14ac:dyDescent="0.2">
      <c r="B12" s="196" t="s">
        <v>263</v>
      </c>
      <c r="C12" s="197">
        <v>1192</v>
      </c>
    </row>
    <row r="13" spans="1:3" ht="14.25" x14ac:dyDescent="0.2">
      <c r="B13" s="196" t="s">
        <v>264</v>
      </c>
      <c r="C13" s="197">
        <v>372</v>
      </c>
    </row>
    <row r="14" spans="1:3" ht="14.25" x14ac:dyDescent="0.2">
      <c r="B14" s="196" t="s">
        <v>265</v>
      </c>
      <c r="C14" s="197">
        <v>22</v>
      </c>
    </row>
    <row r="15" spans="1:3" ht="14.25" x14ac:dyDescent="0.2">
      <c r="B15" s="196" t="s">
        <v>266</v>
      </c>
      <c r="C15" s="197">
        <v>350</v>
      </c>
    </row>
    <row r="16" spans="1:3" ht="14.25" x14ac:dyDescent="0.2">
      <c r="B16" s="196" t="s">
        <v>267</v>
      </c>
      <c r="C16" s="197">
        <v>1</v>
      </c>
    </row>
    <row r="17" spans="1:3" ht="14.25" x14ac:dyDescent="0.2">
      <c r="B17" s="196" t="s">
        <v>268</v>
      </c>
      <c r="C17" s="197">
        <v>30</v>
      </c>
    </row>
    <row r="18" spans="1:3" ht="14.25" x14ac:dyDescent="0.2">
      <c r="B18" s="198" t="s">
        <v>269</v>
      </c>
      <c r="C18" s="199">
        <v>0</v>
      </c>
    </row>
    <row r="19" spans="1:3" ht="14.25" x14ac:dyDescent="0.2">
      <c r="B19" s="200" t="s">
        <v>270</v>
      </c>
      <c r="C19" s="199">
        <v>0</v>
      </c>
    </row>
    <row r="20" spans="1:3" ht="15" x14ac:dyDescent="0.25">
      <c r="A20" s="161" t="s">
        <v>271</v>
      </c>
      <c r="B20" s="191" t="s">
        <v>272</v>
      </c>
      <c r="C20" s="192"/>
    </row>
    <row r="21" spans="1:3" ht="14.25" x14ac:dyDescent="0.2">
      <c r="B21" s="201" t="s">
        <v>273</v>
      </c>
      <c r="C21" s="202">
        <v>4625</v>
      </c>
    </row>
    <row r="22" spans="1:3" ht="14.25" x14ac:dyDescent="0.2">
      <c r="B22" s="196" t="s">
        <v>274</v>
      </c>
      <c r="C22" s="197">
        <v>4694</v>
      </c>
    </row>
    <row r="23" spans="1:3" ht="14.25" x14ac:dyDescent="0.2">
      <c r="B23" s="196" t="s">
        <v>275</v>
      </c>
      <c r="C23" s="203">
        <f>C9-C10</f>
        <v>69</v>
      </c>
    </row>
    <row r="24" spans="1:3" ht="14.25" x14ac:dyDescent="0.2">
      <c r="B24" s="204"/>
      <c r="C24" s="205"/>
    </row>
    <row r="25" spans="1:3" s="189" customFormat="1" ht="15" x14ac:dyDescent="0.25">
      <c r="B25" s="193" t="s">
        <v>276</v>
      </c>
      <c r="C25" s="206">
        <f>MEDIAN(C21,C22)</f>
        <v>4659.5</v>
      </c>
    </row>
    <row r="26" spans="1:3" ht="15" x14ac:dyDescent="0.25">
      <c r="B26" s="195" t="s">
        <v>277</v>
      </c>
      <c r="C26" s="207">
        <f>C12/C25</f>
        <v>0.25582144006867691</v>
      </c>
    </row>
    <row r="27" spans="1:3" ht="15" x14ac:dyDescent="0.25">
      <c r="B27" s="195" t="s">
        <v>278</v>
      </c>
      <c r="C27" s="207">
        <f>MEDIAN(C9,C10)/C25</f>
        <v>0.44328790642772831</v>
      </c>
    </row>
    <row r="28" spans="1:3" s="189" customFormat="1" ht="15" x14ac:dyDescent="0.25">
      <c r="B28" s="195" t="s">
        <v>279</v>
      </c>
      <c r="C28" s="208">
        <f>12/C27</f>
        <v>27.070442992011618</v>
      </c>
    </row>
    <row r="29" spans="1:3" ht="15" x14ac:dyDescent="0.25">
      <c r="B29" s="195" t="s">
        <v>280</v>
      </c>
      <c r="C29" s="209">
        <v>360</v>
      </c>
    </row>
    <row r="30" spans="1:3" ht="15" x14ac:dyDescent="0.25">
      <c r="B30" s="195" t="s">
        <v>281</v>
      </c>
      <c r="C30" s="209">
        <v>10</v>
      </c>
    </row>
    <row r="31" spans="1:3" ht="15" x14ac:dyDescent="0.25">
      <c r="B31" s="193" t="s">
        <v>282</v>
      </c>
      <c r="C31" s="210">
        <v>30</v>
      </c>
    </row>
    <row r="32" spans="1:3" ht="15" x14ac:dyDescent="0.25">
      <c r="B32" s="193" t="s">
        <v>283</v>
      </c>
      <c r="C32" s="210">
        <v>30</v>
      </c>
    </row>
    <row r="33" spans="2:3" s="189" customFormat="1" ht="15" x14ac:dyDescent="0.25">
      <c r="B33" s="193" t="s">
        <v>284</v>
      </c>
      <c r="C33" s="210">
        <f>30+(3*TRUNC(1/C27))</f>
        <v>36</v>
      </c>
    </row>
    <row r="34" spans="2:3" s="189" customFormat="1" ht="15" x14ac:dyDescent="0.25">
      <c r="B34" s="195" t="s">
        <v>219</v>
      </c>
      <c r="C34" s="211">
        <v>0.08</v>
      </c>
    </row>
    <row r="35" spans="2:3" s="189" customFormat="1" ht="15" x14ac:dyDescent="0.25">
      <c r="B35" s="212" t="s">
        <v>285</v>
      </c>
      <c r="C35" s="213">
        <v>0.4</v>
      </c>
    </row>
    <row r="36" spans="2:3" x14ac:dyDescent="0.2">
      <c r="B36" s="189" t="s">
        <v>286</v>
      </c>
    </row>
  </sheetData>
  <mergeCells count="1">
    <mergeCell ref="B7:C7"/>
  </mergeCells>
  <pageMargins left="0.905555555555556" right="0.51180555555555596" top="0.74791666666666701" bottom="0.74791666666666701" header="0.511811023622047" footer="0.511811023622047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view="pageBreakPreview" topLeftCell="A4" zoomScaleNormal="100" workbookViewId="0">
      <selection activeCell="C13" sqref="C13"/>
    </sheetView>
  </sheetViews>
  <sheetFormatPr defaultColWidth="8.7109375" defaultRowHeight="12.75" x14ac:dyDescent="0.2"/>
  <cols>
    <col min="1" max="1" width="41.85546875" customWidth="1"/>
    <col min="2" max="2" width="5.5703125" customWidth="1"/>
    <col min="3" max="3" width="10" customWidth="1"/>
    <col min="4" max="4" width="9.7109375" customWidth="1"/>
    <col min="5" max="5" width="8" style="160" customWidth="1"/>
    <col min="6" max="6" width="9.7109375" customWidth="1"/>
  </cols>
  <sheetData>
    <row r="1" spans="1:8" s="214" customFormat="1" ht="14.25" x14ac:dyDescent="0.2">
      <c r="A1" s="36"/>
      <c r="B1" s="22"/>
      <c r="C1" s="22"/>
      <c r="E1" s="215"/>
    </row>
    <row r="2" spans="1:8" s="214" customFormat="1" ht="14.25" x14ac:dyDescent="0.2">
      <c r="A2" s="162"/>
      <c r="B2" s="22"/>
      <c r="C2" s="22"/>
      <c r="E2" s="215"/>
    </row>
    <row r="3" spans="1:8" s="214" customFormat="1" ht="14.25" x14ac:dyDescent="0.2">
      <c r="A3" s="14"/>
      <c r="B3" s="22"/>
      <c r="C3" s="22"/>
      <c r="E3" s="215"/>
    </row>
    <row r="4" spans="1:8" s="214" customFormat="1" ht="14.25" x14ac:dyDescent="0.2">
      <c r="A4" s="14"/>
      <c r="B4" s="22"/>
      <c r="C4" s="22"/>
      <c r="E4" s="215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77" t="s">
        <v>287</v>
      </c>
      <c r="B6" s="277"/>
      <c r="C6" s="277"/>
      <c r="D6" s="277"/>
      <c r="E6" s="277"/>
      <c r="F6" s="277"/>
      <c r="G6" s="15"/>
    </row>
    <row r="7" spans="1:8" s="214" customFormat="1" ht="14.25" x14ac:dyDescent="0.2">
      <c r="B7" s="22"/>
      <c r="C7" s="22"/>
      <c r="E7" s="215"/>
    </row>
    <row r="8" spans="1:8" ht="15.75" x14ac:dyDescent="0.2">
      <c r="A8" s="278" t="s">
        <v>288</v>
      </c>
      <c r="B8" s="278"/>
      <c r="C8" s="278"/>
      <c r="D8" s="278"/>
      <c r="E8" s="278"/>
      <c r="F8" s="278"/>
    </row>
    <row r="9" spans="1:8" ht="15.75" x14ac:dyDescent="0.2">
      <c r="A9" s="216"/>
      <c r="B9" s="217"/>
      <c r="C9" s="217"/>
      <c r="D9" s="217"/>
      <c r="E9" s="217"/>
      <c r="F9" s="218"/>
    </row>
    <row r="10" spans="1:8" ht="15" x14ac:dyDescent="0.25">
      <c r="A10" s="219"/>
      <c r="B10" s="22"/>
      <c r="C10" s="22"/>
      <c r="D10" s="279" t="s">
        <v>289</v>
      </c>
      <c r="E10" s="279"/>
      <c r="F10" s="279"/>
      <c r="G10" s="214"/>
      <c r="H10" s="214"/>
    </row>
    <row r="11" spans="1:8" ht="14.25" x14ac:dyDescent="0.2">
      <c r="A11" s="204"/>
      <c r="B11" s="214"/>
      <c r="C11" s="214"/>
      <c r="D11" s="220" t="s">
        <v>290</v>
      </c>
      <c r="E11" s="221" t="s">
        <v>291</v>
      </c>
      <c r="F11" s="222" t="s">
        <v>292</v>
      </c>
      <c r="G11" s="214"/>
      <c r="H11" s="214"/>
    </row>
    <row r="12" spans="1:8" ht="14.25" x14ac:dyDescent="0.2">
      <c r="A12" s="223" t="s">
        <v>293</v>
      </c>
      <c r="B12" s="224" t="s">
        <v>294</v>
      </c>
      <c r="C12" s="225">
        <v>4.8899999999999999E-2</v>
      </c>
      <c r="D12" s="226">
        <v>2.9700000000000001E-2</v>
      </c>
      <c r="E12" s="227">
        <v>5.0799999999999998E-2</v>
      </c>
      <c r="F12" s="228">
        <v>6.2700000000000006E-2</v>
      </c>
      <c r="G12" s="214"/>
      <c r="H12" s="214"/>
    </row>
    <row r="13" spans="1:8" ht="14.25" x14ac:dyDescent="0.2">
      <c r="A13" s="229" t="s">
        <v>295</v>
      </c>
      <c r="B13" s="230" t="s">
        <v>296</v>
      </c>
      <c r="C13" s="231">
        <v>1.3299999999999999E-2</v>
      </c>
      <c r="D13" s="226">
        <f>0.3%+0.56%</f>
        <v>8.6E-3</v>
      </c>
      <c r="E13" s="227">
        <f>0.48%+0.85%</f>
        <v>1.3299999999999999E-2</v>
      </c>
      <c r="F13" s="228">
        <f>0.82%+0.89%</f>
        <v>1.7099999999999997E-2</v>
      </c>
      <c r="G13" s="214"/>
      <c r="H13" s="214"/>
    </row>
    <row r="14" spans="1:8" ht="14.25" x14ac:dyDescent="0.2">
      <c r="A14" s="229" t="s">
        <v>297</v>
      </c>
      <c r="B14" s="230" t="s">
        <v>298</v>
      </c>
      <c r="C14" s="231">
        <v>0.1</v>
      </c>
      <c r="D14" s="226">
        <v>7.7799999999999994E-2</v>
      </c>
      <c r="E14" s="227">
        <v>0.1085</v>
      </c>
      <c r="F14" s="228">
        <v>0.13550000000000001</v>
      </c>
      <c r="G14" s="214"/>
      <c r="H14" s="214"/>
    </row>
    <row r="15" spans="1:8" ht="14.25" x14ac:dyDescent="0.2">
      <c r="A15" s="229" t="s">
        <v>299</v>
      </c>
      <c r="B15" s="230" t="s">
        <v>300</v>
      </c>
      <c r="C15" s="232">
        <f>(1+E15)^(E16/252)-1</f>
        <v>5.1255062445492161E-3</v>
      </c>
      <c r="D15" s="226" t="s">
        <v>301</v>
      </c>
      <c r="E15" s="233">
        <v>0.13750000000000001</v>
      </c>
      <c r="F15" s="234"/>
      <c r="G15" s="214"/>
      <c r="H15" s="214"/>
    </row>
    <row r="16" spans="1:8" ht="14.25" x14ac:dyDescent="0.2">
      <c r="A16" s="229" t="s">
        <v>302</v>
      </c>
      <c r="B16" s="280" t="s">
        <v>303</v>
      </c>
      <c r="C16" s="231">
        <v>0.04</v>
      </c>
      <c r="D16" s="235" t="s">
        <v>304</v>
      </c>
      <c r="E16" s="236">
        <v>10</v>
      </c>
      <c r="F16" s="203"/>
      <c r="G16" s="214"/>
      <c r="H16" s="214"/>
    </row>
    <row r="17" spans="1:8" ht="14.25" x14ac:dyDescent="0.2">
      <c r="A17" s="237" t="s">
        <v>305</v>
      </c>
      <c r="B17" s="280"/>
      <c r="C17" s="238">
        <v>3.6499999999999998E-2</v>
      </c>
      <c r="D17" s="196"/>
      <c r="E17" s="239" t="s">
        <v>271</v>
      </c>
      <c r="F17" s="203"/>
      <c r="G17" s="214"/>
      <c r="H17" s="214"/>
    </row>
    <row r="18" spans="1:8" ht="14.25" x14ac:dyDescent="0.2">
      <c r="A18" s="240" t="s">
        <v>306</v>
      </c>
      <c r="B18" s="241"/>
      <c r="C18" s="242"/>
      <c r="D18" s="196"/>
      <c r="E18" s="239"/>
      <c r="F18" s="203"/>
      <c r="G18" s="214"/>
      <c r="H18" s="214"/>
    </row>
    <row r="19" spans="1:8" ht="14.25" x14ac:dyDescent="0.2">
      <c r="A19" s="243" t="s">
        <v>307</v>
      </c>
      <c r="B19" s="244"/>
      <c r="C19" s="245"/>
      <c r="D19" s="196"/>
      <c r="E19" s="239"/>
      <c r="F19" s="203"/>
      <c r="G19" s="214"/>
      <c r="H19" s="214"/>
    </row>
    <row r="20" spans="1:8" ht="15" x14ac:dyDescent="0.2">
      <c r="A20" s="246" t="s">
        <v>308</v>
      </c>
      <c r="B20" s="247"/>
      <c r="C20" s="248">
        <f>ROUND((((1+C12+C13)*(1+C14)*(1+C15))/(1-(C16+C17))-1),4)</f>
        <v>0.2717</v>
      </c>
      <c r="D20" s="249">
        <v>0.21429999999999999</v>
      </c>
      <c r="E20" s="250">
        <v>0.2717</v>
      </c>
      <c r="F20" s="251">
        <v>0.3362</v>
      </c>
      <c r="G20" s="214"/>
      <c r="H20" s="214"/>
    </row>
    <row r="21" spans="1:8" ht="14.25" x14ac:dyDescent="0.2">
      <c r="A21" s="214"/>
      <c r="B21" s="214"/>
      <c r="C21" s="214"/>
      <c r="D21" s="214"/>
      <c r="E21" s="215"/>
      <c r="F21" s="214"/>
      <c r="G21" s="214"/>
      <c r="H21" s="214"/>
    </row>
    <row r="22" spans="1:8" ht="14.25" x14ac:dyDescent="0.2">
      <c r="A22" s="214"/>
      <c r="B22" s="214"/>
      <c r="C22" s="214"/>
      <c r="D22" s="214"/>
      <c r="E22" s="215"/>
      <c r="F22" s="214"/>
      <c r="G22" s="214"/>
      <c r="H22" s="214"/>
    </row>
    <row r="23" spans="1:8" ht="14.25" x14ac:dyDescent="0.2">
      <c r="A23" s="214"/>
      <c r="B23" s="214"/>
      <c r="C23" s="214"/>
      <c r="D23" s="214"/>
      <c r="E23" s="215"/>
      <c r="F23" s="214"/>
      <c r="G23" s="214"/>
      <c r="H23" s="214"/>
    </row>
    <row r="24" spans="1:8" ht="14.25" x14ac:dyDescent="0.2">
      <c r="A24" s="214"/>
      <c r="B24" s="214"/>
      <c r="C24" s="214"/>
      <c r="D24" s="214"/>
      <c r="E24" s="215"/>
      <c r="F24" s="214"/>
      <c r="G24" s="214"/>
      <c r="H24" s="214"/>
    </row>
  </sheetData>
  <mergeCells count="4">
    <mergeCell ref="A6:F6"/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view="pageBreakPreview" zoomScaleNormal="100" workbookViewId="0">
      <selection activeCell="C15" sqref="C15"/>
    </sheetView>
  </sheetViews>
  <sheetFormatPr defaultColWidth="8.7109375" defaultRowHeight="12.75" x14ac:dyDescent="0.2"/>
  <cols>
    <col min="1" max="1" width="41.85546875" customWidth="1"/>
    <col min="2" max="2" width="5.5703125" customWidth="1"/>
    <col min="3" max="3" width="10" customWidth="1"/>
    <col min="4" max="4" width="9.7109375" customWidth="1"/>
    <col min="5" max="5" width="8" style="160" customWidth="1"/>
    <col min="6" max="6" width="9.7109375" customWidth="1"/>
  </cols>
  <sheetData>
    <row r="1" spans="1:8" s="214" customFormat="1" ht="14.25" x14ac:dyDescent="0.2">
      <c r="A1" s="36"/>
      <c r="B1" s="22"/>
      <c r="C1" s="22"/>
      <c r="E1" s="215"/>
    </row>
    <row r="2" spans="1:8" s="214" customFormat="1" ht="14.25" x14ac:dyDescent="0.2">
      <c r="A2" s="162"/>
      <c r="B2" s="22"/>
      <c r="C2" s="22"/>
      <c r="E2" s="215"/>
    </row>
    <row r="3" spans="1:8" s="214" customFormat="1" ht="14.25" x14ac:dyDescent="0.2">
      <c r="A3" s="14"/>
      <c r="B3" s="22"/>
      <c r="C3" s="22"/>
      <c r="E3" s="215"/>
    </row>
    <row r="4" spans="1:8" s="214" customFormat="1" ht="14.25" x14ac:dyDescent="0.2">
      <c r="A4" s="14"/>
      <c r="B4" s="22"/>
      <c r="C4" s="22"/>
      <c r="E4" s="215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77" t="s">
        <v>309</v>
      </c>
      <c r="B6" s="277"/>
      <c r="C6" s="277"/>
      <c r="D6" s="277"/>
      <c r="E6" s="277"/>
      <c r="F6" s="277"/>
      <c r="G6" s="15"/>
    </row>
    <row r="7" spans="1:8" s="214" customFormat="1" ht="14.25" x14ac:dyDescent="0.2"/>
    <row r="8" spans="1:8" ht="15.75" x14ac:dyDescent="0.2">
      <c r="A8" s="278" t="s">
        <v>310</v>
      </c>
      <c r="B8" s="278"/>
      <c r="C8" s="278"/>
      <c r="D8" s="278"/>
      <c r="E8" s="278"/>
      <c r="F8" s="278"/>
    </row>
    <row r="9" spans="1:8" ht="15.75" x14ac:dyDescent="0.2">
      <c r="A9" s="216"/>
      <c r="B9" s="217"/>
      <c r="C9" s="217"/>
      <c r="D9" s="217"/>
      <c r="E9" s="217"/>
      <c r="F9" s="218"/>
    </row>
    <row r="10" spans="1:8" ht="15" x14ac:dyDescent="0.25">
      <c r="A10" s="219"/>
      <c r="B10" s="22"/>
      <c r="C10" s="22"/>
      <c r="D10" s="279" t="s">
        <v>289</v>
      </c>
      <c r="E10" s="279"/>
      <c r="F10" s="279"/>
      <c r="G10" s="214"/>
      <c r="H10" s="214"/>
    </row>
    <row r="11" spans="1:8" ht="14.25" x14ac:dyDescent="0.2">
      <c r="A11" s="204"/>
      <c r="B11" s="214"/>
      <c r="C11" s="214"/>
      <c r="D11" s="220" t="s">
        <v>290</v>
      </c>
      <c r="E11" s="221" t="s">
        <v>291</v>
      </c>
      <c r="F11" s="222" t="s">
        <v>292</v>
      </c>
      <c r="G11" s="214"/>
      <c r="H11" s="214"/>
    </row>
    <row r="12" spans="1:8" ht="14.25" x14ac:dyDescent="0.2">
      <c r="A12" s="223" t="s">
        <v>293</v>
      </c>
      <c r="B12" s="224" t="s">
        <v>294</v>
      </c>
      <c r="C12" s="225">
        <v>3.4500000000000003E-2</v>
      </c>
      <c r="D12" s="226">
        <v>1.4999999999999999E-2</v>
      </c>
      <c r="E12" s="227">
        <v>3.4500000000000003E-2</v>
      </c>
      <c r="F12" s="228">
        <v>4.4900000000000002E-2</v>
      </c>
      <c r="G12" s="214"/>
      <c r="H12" s="214"/>
    </row>
    <row r="13" spans="1:8" ht="14.25" x14ac:dyDescent="0.2">
      <c r="A13" s="229" t="s">
        <v>295</v>
      </c>
      <c r="B13" s="230" t="s">
        <v>296</v>
      </c>
      <c r="C13" s="231">
        <v>8.6E-3</v>
      </c>
      <c r="D13" s="226">
        <v>8.6E-3</v>
      </c>
      <c r="E13" s="227">
        <f>0.48%+0.85%</f>
        <v>1.3299999999999999E-2</v>
      </c>
      <c r="F13" s="228">
        <f>0.82%+0.89%</f>
        <v>1.7099999999999997E-2</v>
      </c>
      <c r="G13" s="214"/>
      <c r="H13" s="214"/>
    </row>
    <row r="14" spans="1:8" ht="14.25" x14ac:dyDescent="0.2">
      <c r="A14" s="229" t="s">
        <v>297</v>
      </c>
      <c r="B14" s="230" t="s">
        <v>298</v>
      </c>
      <c r="C14" s="231">
        <v>4.7800000000000002E-2</v>
      </c>
      <c r="D14" s="226">
        <v>3.5000000000000003E-2</v>
      </c>
      <c r="E14" s="227">
        <v>5.11E-2</v>
      </c>
      <c r="F14" s="228">
        <v>6.2199999999999998E-2</v>
      </c>
      <c r="G14" s="214"/>
      <c r="H14" s="214"/>
    </row>
    <row r="15" spans="1:8" ht="14.25" x14ac:dyDescent="0.2">
      <c r="A15" s="229" t="s">
        <v>299</v>
      </c>
      <c r="B15" s="230" t="s">
        <v>300</v>
      </c>
      <c r="C15" s="232">
        <f>(1+E15)^(E16/252)-1</f>
        <v>5.1255062445492161E-3</v>
      </c>
      <c r="D15" s="226" t="s">
        <v>301</v>
      </c>
      <c r="E15" s="233">
        <v>0.13750000000000001</v>
      </c>
      <c r="F15" s="234"/>
      <c r="G15" s="214"/>
      <c r="H15" s="214"/>
    </row>
    <row r="16" spans="1:8" ht="14.25" x14ac:dyDescent="0.2">
      <c r="A16" s="229" t="s">
        <v>302</v>
      </c>
      <c r="B16" s="280" t="s">
        <v>303</v>
      </c>
      <c r="C16" s="231"/>
      <c r="D16" s="235" t="s">
        <v>304</v>
      </c>
      <c r="E16" s="236">
        <v>10</v>
      </c>
      <c r="F16" s="203"/>
      <c r="G16" s="214"/>
      <c r="H16" s="214"/>
    </row>
    <row r="17" spans="1:8" ht="14.25" x14ac:dyDescent="0.2">
      <c r="A17" s="237" t="s">
        <v>305</v>
      </c>
      <c r="B17" s="280"/>
      <c r="C17" s="238">
        <v>3.6499999999999998E-2</v>
      </c>
      <c r="D17" s="196"/>
      <c r="E17" s="239" t="s">
        <v>271</v>
      </c>
      <c r="F17" s="203"/>
      <c r="G17" s="214"/>
      <c r="H17" s="214"/>
    </row>
    <row r="18" spans="1:8" ht="14.25" x14ac:dyDescent="0.2">
      <c r="A18" s="240" t="s">
        <v>306</v>
      </c>
      <c r="B18" s="241"/>
      <c r="C18" s="242"/>
      <c r="D18" s="196"/>
      <c r="E18" s="239"/>
      <c r="F18" s="203"/>
      <c r="G18" s="214"/>
      <c r="H18" s="214"/>
    </row>
    <row r="19" spans="1:8" ht="14.25" x14ac:dyDescent="0.2">
      <c r="A19" s="243" t="s">
        <v>307</v>
      </c>
      <c r="B19" s="244"/>
      <c r="C19" s="245"/>
      <c r="D19" s="196"/>
      <c r="E19" s="239"/>
      <c r="F19" s="203"/>
      <c r="G19" s="214"/>
      <c r="H19" s="214"/>
    </row>
    <row r="20" spans="1:8" ht="15" x14ac:dyDescent="0.2">
      <c r="A20" s="246" t="s">
        <v>308</v>
      </c>
      <c r="B20" s="247"/>
      <c r="C20" s="248">
        <f>ROUND((((1+C12+C13)*(1+C14)*(1+C15))/(1-(C16+C17))-1),4)</f>
        <v>0.14019999999999999</v>
      </c>
      <c r="D20" s="249">
        <v>0.111</v>
      </c>
      <c r="E20" s="250">
        <v>0.14019999999999999</v>
      </c>
      <c r="F20" s="251">
        <v>0.16800000000000001</v>
      </c>
      <c r="G20" s="214"/>
      <c r="H20" s="214"/>
    </row>
    <row r="21" spans="1:8" ht="14.25" x14ac:dyDescent="0.2">
      <c r="A21" s="214"/>
      <c r="B21" s="214"/>
      <c r="C21" s="214"/>
      <c r="D21" s="214"/>
      <c r="E21" s="215"/>
      <c r="F21" s="214"/>
      <c r="G21" s="214"/>
      <c r="H21" s="214"/>
    </row>
    <row r="22" spans="1:8" ht="14.25" x14ac:dyDescent="0.2">
      <c r="A22" s="214"/>
      <c r="B22" s="214"/>
      <c r="C22" s="214"/>
      <c r="D22" s="214"/>
      <c r="E22" s="215"/>
      <c r="F22" s="214"/>
      <c r="G22" s="214"/>
      <c r="H22" s="214"/>
    </row>
    <row r="23" spans="1:8" ht="14.25" x14ac:dyDescent="0.2">
      <c r="A23" s="214"/>
      <c r="B23" s="214"/>
      <c r="C23" s="214"/>
      <c r="D23" s="214"/>
      <c r="E23" s="215"/>
      <c r="F23" s="214"/>
      <c r="G23" s="214"/>
      <c r="H23" s="214"/>
    </row>
    <row r="24" spans="1:8" ht="14.25" x14ac:dyDescent="0.2">
      <c r="A24" s="214"/>
      <c r="B24" s="214"/>
      <c r="C24" s="214"/>
      <c r="D24" s="214"/>
      <c r="E24" s="215"/>
      <c r="F24" s="214"/>
      <c r="G24" s="214"/>
      <c r="H24" s="214"/>
    </row>
  </sheetData>
  <mergeCells count="4">
    <mergeCell ref="A6:F6"/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view="pageBreakPreview" zoomScaleNormal="100" workbookViewId="0"/>
  </sheetViews>
  <sheetFormatPr defaultColWidth="9.140625" defaultRowHeight="12.75" x14ac:dyDescent="0.2"/>
  <cols>
    <col min="1" max="1" width="24.5703125" style="161" customWidth="1"/>
    <col min="2" max="2" width="20.85546875" style="161" customWidth="1"/>
    <col min="3" max="16384" width="9.140625" style="161"/>
  </cols>
  <sheetData>
    <row r="1" spans="1:2" ht="19.5" customHeight="1" x14ac:dyDescent="0.2">
      <c r="A1" s="281" t="s">
        <v>311</v>
      </c>
      <c r="B1" s="281"/>
    </row>
    <row r="2" spans="1:2" s="189" customFormat="1" ht="19.5" customHeight="1" x14ac:dyDescent="0.2">
      <c r="A2" s="252" t="s">
        <v>312</v>
      </c>
      <c r="B2" s="253" t="s">
        <v>313</v>
      </c>
    </row>
    <row r="3" spans="1:2" ht="19.5" customHeight="1" x14ac:dyDescent="0.2">
      <c r="A3" s="254">
        <v>1</v>
      </c>
      <c r="B3" s="255">
        <v>33.630000000000003</v>
      </c>
    </row>
    <row r="4" spans="1:2" ht="19.5" customHeight="1" x14ac:dyDescent="0.2">
      <c r="A4" s="254">
        <v>2</v>
      </c>
      <c r="B4" s="255">
        <v>43.13</v>
      </c>
    </row>
    <row r="5" spans="1:2" ht="19.5" customHeight="1" x14ac:dyDescent="0.2">
      <c r="A5" s="254">
        <v>3</v>
      </c>
      <c r="B5" s="255">
        <v>48.68</v>
      </c>
    </row>
    <row r="6" spans="1:2" ht="19.5" customHeight="1" x14ac:dyDescent="0.2">
      <c r="A6" s="254">
        <v>4</v>
      </c>
      <c r="B6" s="255">
        <v>52.62</v>
      </c>
    </row>
    <row r="7" spans="1:2" ht="19.5" customHeight="1" x14ac:dyDescent="0.2">
      <c r="A7" s="254">
        <v>5</v>
      </c>
      <c r="B7" s="255">
        <v>55.68</v>
      </c>
    </row>
    <row r="8" spans="1:2" ht="19.5" customHeight="1" x14ac:dyDescent="0.2">
      <c r="A8" s="254">
        <v>6</v>
      </c>
      <c r="B8" s="255">
        <v>58.18</v>
      </c>
    </row>
    <row r="9" spans="1:2" ht="19.5" customHeight="1" x14ac:dyDescent="0.2">
      <c r="A9" s="254">
        <v>7</v>
      </c>
      <c r="B9" s="255">
        <v>60.29</v>
      </c>
    </row>
    <row r="10" spans="1:2" ht="19.5" customHeight="1" x14ac:dyDescent="0.2">
      <c r="A10" s="254">
        <v>8</v>
      </c>
      <c r="B10" s="255">
        <v>62.12</v>
      </c>
    </row>
    <row r="11" spans="1:2" ht="19.5" customHeight="1" x14ac:dyDescent="0.2">
      <c r="A11" s="254">
        <v>9</v>
      </c>
      <c r="B11" s="255">
        <v>63.73</v>
      </c>
    </row>
    <row r="12" spans="1:2" ht="19.5" customHeight="1" x14ac:dyDescent="0.2">
      <c r="A12" s="254">
        <v>10</v>
      </c>
      <c r="B12" s="255">
        <v>65.180000000000007</v>
      </c>
    </row>
    <row r="13" spans="1:2" ht="19.5" customHeight="1" x14ac:dyDescent="0.2">
      <c r="A13" s="254">
        <v>11</v>
      </c>
      <c r="B13" s="255">
        <v>66.48</v>
      </c>
    </row>
    <row r="14" spans="1:2" ht="19.5" customHeight="1" x14ac:dyDescent="0.2">
      <c r="A14" s="254">
        <v>12</v>
      </c>
      <c r="B14" s="255">
        <v>67.67</v>
      </c>
    </row>
    <row r="15" spans="1:2" ht="19.5" customHeight="1" x14ac:dyDescent="0.2">
      <c r="A15" s="254">
        <v>13</v>
      </c>
      <c r="B15" s="255">
        <v>68.77</v>
      </c>
    </row>
    <row r="16" spans="1:2" ht="19.5" customHeight="1" x14ac:dyDescent="0.2">
      <c r="A16" s="254">
        <v>14</v>
      </c>
      <c r="B16" s="255">
        <v>69.790000000000006</v>
      </c>
    </row>
    <row r="17" spans="1:2" ht="19.5" customHeight="1" x14ac:dyDescent="0.2">
      <c r="A17" s="256">
        <v>15</v>
      </c>
      <c r="B17" s="257">
        <v>70.73</v>
      </c>
    </row>
  </sheetData>
  <mergeCells count="1">
    <mergeCell ref="A1:B1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7"/>
  <sheetViews>
    <sheetView view="pageBreakPreview" zoomScaleNormal="100" workbookViewId="0"/>
  </sheetViews>
  <sheetFormatPr defaultColWidth="9.140625" defaultRowHeight="12.75" x14ac:dyDescent="0.2"/>
  <cols>
    <col min="1" max="1" width="70.42578125" style="161" customWidth="1"/>
    <col min="2" max="3" width="9.140625" style="161"/>
    <col min="4" max="4" width="12.85546875" style="161" customWidth="1"/>
    <col min="5" max="16384" width="9.140625" style="161"/>
  </cols>
  <sheetData>
    <row r="1" spans="1:1" ht="18" x14ac:dyDescent="0.25">
      <c r="A1" s="258" t="s">
        <v>314</v>
      </c>
    </row>
    <row r="2" spans="1:1" x14ac:dyDescent="0.2">
      <c r="A2" s="259"/>
    </row>
    <row r="3" spans="1:1" x14ac:dyDescent="0.2">
      <c r="A3" s="259" t="s">
        <v>315</v>
      </c>
    </row>
    <row r="4" spans="1:1" x14ac:dyDescent="0.2">
      <c r="A4" s="259"/>
    </row>
    <row r="5" spans="1:1" x14ac:dyDescent="0.2">
      <c r="A5" s="259"/>
    </row>
    <row r="6" spans="1:1" x14ac:dyDescent="0.2">
      <c r="A6" s="259"/>
    </row>
    <row r="7" spans="1:1" x14ac:dyDescent="0.2">
      <c r="A7" s="259"/>
    </row>
    <row r="8" spans="1:1" x14ac:dyDescent="0.2">
      <c r="A8" s="259"/>
    </row>
    <row r="9" spans="1:1" x14ac:dyDescent="0.2">
      <c r="A9" s="259"/>
    </row>
    <row r="10" spans="1:1" x14ac:dyDescent="0.2">
      <c r="A10" s="259"/>
    </row>
    <row r="11" spans="1:1" x14ac:dyDescent="0.2">
      <c r="A11" s="259"/>
    </row>
    <row r="12" spans="1:1" ht="19.5" x14ac:dyDescent="0.35">
      <c r="A12" s="260" t="s">
        <v>316</v>
      </c>
    </row>
    <row r="13" spans="1:1" ht="15" x14ac:dyDescent="0.2">
      <c r="A13" s="260" t="s">
        <v>317</v>
      </c>
    </row>
    <row r="14" spans="1:1" ht="15" x14ac:dyDescent="0.2">
      <c r="A14" s="260" t="s">
        <v>318</v>
      </c>
    </row>
    <row r="15" spans="1:1" ht="19.5" x14ac:dyDescent="0.35">
      <c r="A15" s="260" t="s">
        <v>319</v>
      </c>
    </row>
    <row r="16" spans="1:1" ht="19.5" x14ac:dyDescent="0.35">
      <c r="A16" s="260" t="s">
        <v>320</v>
      </c>
    </row>
    <row r="17" spans="1:1" ht="15" x14ac:dyDescent="0.2">
      <c r="A17" s="261" t="s">
        <v>321</v>
      </c>
    </row>
  </sheetData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view="pageBreakPreview" topLeftCell="A4" zoomScaleNormal="100" workbookViewId="0">
      <selection activeCell="M23" sqref="M23"/>
    </sheetView>
  </sheetViews>
  <sheetFormatPr defaultColWidth="9.140625" defaultRowHeight="12.75" x14ac:dyDescent="0.2"/>
  <cols>
    <col min="1" max="1" width="58.28515625" style="161" customWidth="1"/>
    <col min="2" max="2" width="11.140625" style="161" customWidth="1"/>
    <col min="3" max="3" width="11.28515625" style="161" customWidth="1"/>
    <col min="4" max="16384" width="9.140625" style="161"/>
  </cols>
  <sheetData>
    <row r="1" spans="1:7" x14ac:dyDescent="0.2">
      <c r="A1" s="36" t="s">
        <v>198</v>
      </c>
    </row>
    <row r="2" spans="1:7" x14ac:dyDescent="0.2">
      <c r="A2" s="162" t="s">
        <v>322</v>
      </c>
    </row>
    <row r="3" spans="1:7" x14ac:dyDescent="0.2">
      <c r="A3" s="162" t="s">
        <v>323</v>
      </c>
    </row>
    <row r="4" spans="1:7" x14ac:dyDescent="0.2">
      <c r="A4" s="14" t="s">
        <v>324</v>
      </c>
    </row>
    <row r="5" spans="1:7" x14ac:dyDescent="0.2">
      <c r="A5" s="14"/>
    </row>
    <row r="6" spans="1:7" s="19" customFormat="1" ht="15" customHeight="1" x14ac:dyDescent="0.2">
      <c r="A6" s="17"/>
      <c r="B6" s="20"/>
      <c r="C6" s="20"/>
      <c r="D6" s="20"/>
      <c r="E6" s="20"/>
      <c r="F6" s="20"/>
      <c r="G6" s="15"/>
    </row>
    <row r="7" spans="1:7" s="19" customFormat="1" ht="16.5" customHeight="1" x14ac:dyDescent="0.2">
      <c r="A7" s="17"/>
      <c r="B7" s="20"/>
      <c r="C7" s="20"/>
      <c r="D7" s="15"/>
      <c r="E7" s="15"/>
      <c r="F7" s="15"/>
      <c r="G7" s="15"/>
    </row>
    <row r="9" spans="1:7" ht="18" x14ac:dyDescent="0.25">
      <c r="A9" s="1" t="s">
        <v>325</v>
      </c>
      <c r="B9" s="1"/>
      <c r="C9" s="1"/>
    </row>
    <row r="10" spans="1:7" ht="18" x14ac:dyDescent="0.25">
      <c r="A10" s="262"/>
      <c r="B10" s="263"/>
      <c r="C10" s="264"/>
    </row>
    <row r="11" spans="1:7" s="189" customFormat="1" ht="15" x14ac:dyDescent="0.25">
      <c r="A11" s="265" t="s">
        <v>326</v>
      </c>
      <c r="B11" s="266" t="s">
        <v>327</v>
      </c>
      <c r="C11" s="267" t="s">
        <v>203</v>
      </c>
    </row>
    <row r="12" spans="1:7" ht="14.25" x14ac:dyDescent="0.2">
      <c r="A12" s="196" t="s">
        <v>328</v>
      </c>
      <c r="B12" s="268" t="s">
        <v>329</v>
      </c>
      <c r="C12" s="197">
        <v>3869</v>
      </c>
    </row>
    <row r="13" spans="1:7" ht="14.25" x14ac:dyDescent="0.2">
      <c r="A13" s="196" t="s">
        <v>330</v>
      </c>
      <c r="B13" s="268" t="s">
        <v>331</v>
      </c>
      <c r="C13" s="269">
        <v>0.52300000000000002</v>
      </c>
    </row>
    <row r="14" spans="1:7" ht="14.25" x14ac:dyDescent="0.2">
      <c r="A14" s="196" t="s">
        <v>332</v>
      </c>
      <c r="B14" s="268" t="s">
        <v>333</v>
      </c>
      <c r="C14" s="270">
        <f>C12*C13/1000</f>
        <v>2.0234870000000003</v>
      </c>
    </row>
    <row r="15" spans="1:7" ht="14.25" x14ac:dyDescent="0.2">
      <c r="A15" s="196" t="s">
        <v>334</v>
      </c>
      <c r="B15" s="268" t="s">
        <v>335</v>
      </c>
      <c r="C15" s="271">
        <f>(C14*30)</f>
        <v>60.70461000000001</v>
      </c>
    </row>
    <row r="16" spans="1:7" ht="14.25" x14ac:dyDescent="0.2">
      <c r="A16" s="196" t="s">
        <v>336</v>
      </c>
      <c r="B16" s="268" t="s">
        <v>58</v>
      </c>
      <c r="C16" s="272">
        <v>3</v>
      </c>
    </row>
    <row r="17" spans="1:3" ht="14.25" x14ac:dyDescent="0.2">
      <c r="A17" s="196" t="s">
        <v>337</v>
      </c>
      <c r="B17" s="268" t="s">
        <v>333</v>
      </c>
      <c r="C17" s="270">
        <f>IFERROR(C14*7/C16,0)</f>
        <v>4.7214696666666676</v>
      </c>
    </row>
    <row r="18" spans="1:3" ht="14.25" x14ac:dyDescent="0.2">
      <c r="A18" s="196" t="s">
        <v>338</v>
      </c>
      <c r="B18" s="268" t="s">
        <v>339</v>
      </c>
      <c r="C18" s="203">
        <v>500</v>
      </c>
    </row>
    <row r="19" spans="1:3" ht="14.25" x14ac:dyDescent="0.2">
      <c r="A19" s="196" t="s">
        <v>340</v>
      </c>
      <c r="B19" s="268"/>
      <c r="C19" s="197">
        <v>1</v>
      </c>
    </row>
    <row r="20" spans="1:3" ht="14.25" x14ac:dyDescent="0.2">
      <c r="A20" s="196" t="s">
        <v>341</v>
      </c>
      <c r="B20" s="268" t="s">
        <v>342</v>
      </c>
      <c r="C20" s="197">
        <v>12</v>
      </c>
    </row>
    <row r="21" spans="1:3" ht="14.25" x14ac:dyDescent="0.2">
      <c r="A21" s="196" t="s">
        <v>343</v>
      </c>
      <c r="B21" s="268" t="s">
        <v>335</v>
      </c>
      <c r="C21" s="203">
        <f>IF(AND(C20&gt;=15,C19=1),5.8,C20/2)</f>
        <v>6</v>
      </c>
    </row>
    <row r="22" spans="1:3" ht="14.25" x14ac:dyDescent="0.2">
      <c r="A22" s="196" t="s">
        <v>344</v>
      </c>
      <c r="B22" s="268"/>
      <c r="C22" s="270">
        <f>IFERROR(C17/C21,0)</f>
        <v>0.7869116111111113</v>
      </c>
    </row>
    <row r="23" spans="1:3" ht="14.25" x14ac:dyDescent="0.2">
      <c r="A23" s="196" t="s">
        <v>345</v>
      </c>
      <c r="B23" s="268"/>
      <c r="C23" s="273">
        <v>1</v>
      </c>
    </row>
    <row r="24" spans="1:3" ht="14.25" x14ac:dyDescent="0.2">
      <c r="A24" s="274" t="s">
        <v>346</v>
      </c>
      <c r="B24" s="275"/>
      <c r="C24" s="276">
        <f>IFERROR(C22/C23,0)</f>
        <v>0.7869116111111113</v>
      </c>
    </row>
  </sheetData>
  <mergeCells count="1">
    <mergeCell ref="A9:C9"/>
  </mergeCells>
  <conditionalFormatting sqref="C21">
    <cfRule type="expression" dxfId="0" priority="2">
      <formula>"SE(E(C20&gt;=15;C19=1))"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4.BDI (2)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subject/>
  <dc:creator>Flavia Burmeister Martins</dc:creator>
  <dc:description/>
  <cp:lastModifiedBy>Eduarda Festa</cp:lastModifiedBy>
  <cp:revision>16</cp:revision>
  <cp:lastPrinted>2024-04-18T11:54:10Z</cp:lastPrinted>
  <dcterms:created xsi:type="dcterms:W3CDTF">2000-12-13T10:02:50Z</dcterms:created>
  <dcterms:modified xsi:type="dcterms:W3CDTF">2024-04-18T11:55:52Z</dcterms:modified>
  <dc:language>pt-BR</dc:language>
</cp:coreProperties>
</file>